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G417" authorId="0">
      <text>
        <r>
          <rPr>
            <sz val="11"/>
            <color indexed="8"/>
            <rFont val="Calibri"/>
            <family val="2"/>
          </rPr>
          <t xml:space="preserve">https://www.senato.it/service/PDF/PDFServer/BGT/01389367.pdf
</t>
        </r>
      </text>
    </comment>
    <comment ref="I359" authorId="0">
      <text>
        <r>
          <rPr>
            <sz val="11"/>
            <color indexed="8"/>
            <rFont val="Calibri"/>
            <family val="2"/>
          </rPr>
          <t xml:space="preserve">https://www.istat.it/it/archivio/281408
</t>
        </r>
      </text>
    </comment>
    <comment ref="K358" authorId="0">
      <text>
        <r>
          <rPr>
            <sz val="11"/>
            <color indexed="8"/>
            <rFont val="Calibri"/>
            <family val="2"/>
          </rPr>
          <t xml:space="preserve">https://www.istat.it/it/files//2023/09/CS_Conti-economici-nazionali_2020-2022.pdf (pag. 10)
</t>
        </r>
      </text>
    </comment>
    <comment ref="K417" authorId="0">
      <text>
        <r>
          <rPr>
            <sz val="11"/>
            <color indexed="8"/>
            <rFont val="Calibri"/>
            <family val="2"/>
          </rPr>
          <t xml:space="preserve">https://www.senato.it/service/PDF/PDFServer/BGT/01389367.pdf
</t>
        </r>
      </text>
    </comment>
    <comment ref="N381" authorId="0">
      <text>
        <r>
          <rPr>
            <sz val="11"/>
            <color indexed="8"/>
            <rFont val="Calibri"/>
            <family val="2"/>
          </rPr>
          <t xml:space="preserve">https://www.istat.it/it/archivio/288173
</t>
        </r>
      </text>
    </comment>
    <comment ref="N389" authorId="0">
      <text>
        <r>
          <rPr>
            <sz val="11"/>
            <color indexed="8"/>
            <rFont val="Calibri"/>
            <family val="2"/>
          </rPr>
          <t xml:space="preserve">https://www.istat.it/it/archivio/287202
</t>
        </r>
      </text>
    </comment>
  </commentList>
</comments>
</file>

<file path=xl/sharedStrings.xml><?xml version="1.0" encoding="utf-8"?>
<sst xmlns="http://schemas.openxmlformats.org/spreadsheetml/2006/main" count="471" uniqueCount="249">
  <si>
    <t>Anno</t>
  </si>
  <si>
    <t>Giorni</t>
  </si>
  <si>
    <t>Sommatoria</t>
  </si>
  <si>
    <t>Debito Pubblico</t>
  </si>
  <si>
    <t>Secondi trascorsi</t>
  </si>
  <si>
    <t>del mese</t>
  </si>
  <si>
    <t>dei giorni</t>
  </si>
  <si>
    <t>(dalle 00:00:00 del 01.01.2009)</t>
  </si>
  <si>
    <t>2009</t>
  </si>
  <si>
    <t>31 gen</t>
  </si>
  <si>
    <t>28 feb</t>
  </si>
  <si>
    <t>31 mar</t>
  </si>
  <si>
    <t>30 apr</t>
  </si>
  <si>
    <t>31 mag</t>
  </si>
  <si>
    <t>30 giu</t>
  </si>
  <si>
    <t>31 lug</t>
  </si>
  <si>
    <t>31 ago</t>
  </si>
  <si>
    <t>30 set</t>
  </si>
  <si>
    <t>31 ott</t>
  </si>
  <si>
    <t>30 nov</t>
  </si>
  <si>
    <t>31 dic</t>
  </si>
  <si>
    <t>2010</t>
  </si>
  <si>
    <t>2012</t>
  </si>
  <si>
    <t>29 feb</t>
  </si>
  <si>
    <t>2013</t>
  </si>
  <si>
    <t>2014</t>
  </si>
  <si>
    <t>2015</t>
  </si>
  <si>
    <t>31 dec</t>
  </si>
  <si>
    <t>2016</t>
  </si>
  <si>
    <t>2017</t>
  </si>
  <si>
    <t xml:space="preserve"> </t>
  </si>
  <si>
    <t xml:space="preserve">  </t>
  </si>
  <si>
    <t>2018</t>
  </si>
  <si>
    <t>←"conteggio" Bankitalia (debito medio stimato dalla MR: 2.283 mld)</t>
  </si>
  <si>
    <t>←"conteggio" Bankitalia (debito medio stimato dalla MR: 2.307 mld)</t>
  </si>
  <si>
    <t>31 apr</t>
  </si>
  <si>
    <t>←"conteggio" Bankitalia (debito medio stimato dalla MR: 2.317 mld)</t>
  </si>
  <si>
    <t>←"conteggio" Bankitalia (debito medio stimato dalla MR: 2.325 mld)</t>
  </si>
  <si>
    <t>←"conteggio" Bankitalia (debito medio stimato dalla MR: 2.323 mld)</t>
  </si>
  <si>
    <t>←"conteggio" Bankitalia (debito medio stimato dalla MR: 2.343 mld)</t>
  </si>
  <si>
    <t>←"conteggio" Bankitalia (debito medio stimato dalla MR: 2.329 mld)</t>
  </si>
  <si>
    <t>←"conteggio" Bankitalia (debito medio stimato dalla MR: 2.335 mld)</t>
  </si>
  <si>
    <t>←"conteggio" Bankitalia (debito medio stimato dalla MR: 2.340 mld)</t>
  </si>
  <si>
    <t>←"conteggio" Bankitalia (debito medio stimato dalla MR: 2.342 mld)</t>
  </si>
  <si>
    <t>←"conteggio" Bankitalia (debito medio stimato dalla MR: 2.310 mld)</t>
  </si>
  <si>
    <t>2019</t>
  </si>
  <si>
    <t>←"conteggio" Bankitalia (stima media MR: 2.346 mld)</t>
  </si>
  <si>
    <t>←"conteggio" Bankitalia (stima media MR: 2.354 mld)</t>
  </si>
  <si>
    <t>←"conteggio" Bankitalia (stima media MR: 2.358 mld)</t>
  </si>
  <si>
    <t>←"conteggio" Bankitalia (stima media MR: 2.368 mld)</t>
  </si>
  <si>
    <t>←"conteggio" Bankitalia (stima media MR: 2.362 mld)</t>
  </si>
  <si>
    <t>←"conteggio" Bankitalia (stima media MR: 2.389 mld)</t>
  </si>
  <si>
    <t>←"conteggio" Bankitalia (stima media MR: 2.409 mld)</t>
  </si>
  <si>
    <t>(a partire dalla stima di Agosto, Bankitalia ha rivisto - al rialzo - tutti i valori del debito pubblico – “nuovi valori”)</t>
  </si>
  <si>
    <t>←"conteggio" Bankitalia (stima media MR: 2.463 mld)</t>
  </si>
  <si>
    <t>←"conteggio" Bankitalia (stima media MR: 2.436 mld)</t>
  </si>
  <si>
    <t>←"conteggio" Bankitalia (stima media MR: 2.445 mld)</t>
  </si>
  <si>
    <t>←"conteggio" Bankitalia (stima media MR: 2.450 mld)</t>
  </si>
  <si>
    <t>←valore rivisto da Bankitalia (stima media MR: 2.421 mld)</t>
  </si>
  <si>
    <t>2020</t>
  </si>
  <si>
    <t>←"conteggio" Bankitalia  (stima media MR: 2.443 mld)</t>
  </si>
  <si>
    <r>
      <rPr>
        <i/>
        <sz val="11"/>
        <color indexed="8"/>
        <rFont val="Calibri"/>
        <family val="2"/>
      </rPr>
      <t>29</t>
    </r>
    <r>
      <rPr>
        <sz val="11"/>
        <color indexed="8"/>
        <rFont val="Calibri"/>
        <family val="2"/>
      </rPr>
      <t>/</t>
    </r>
    <r>
      <rPr>
        <i/>
        <sz val="11"/>
        <color indexed="8"/>
        <rFont val="Calibri"/>
        <family val="2"/>
      </rPr>
      <t>02</t>
    </r>
    <r>
      <rPr>
        <sz val="11"/>
        <color indexed="8"/>
        <rFont val="Calibri"/>
        <family val="2"/>
      </rPr>
      <t>/2020</t>
    </r>
  </si>
  <si>
    <t>←"conteggio" Bankitalia  (stima media MR: 2.454 mld)</t>
  </si>
  <si>
    <t>←"conteggio" Bankitalia (stima media MR: 2.423 mld)</t>
  </si>
  <si>
    <t>←"conteggio" Bankitalia (stima media MR: 2.465 mld)</t>
  </si>
  <si>
    <t>←"conteggio" Bankitalia (stima media MR: 2.412 mld)</t>
  </si>
  <si>
    <t>←"conteggio" Bankitalia (stima media MR: 2.532,5 mld)</t>
  </si>
  <si>
    <t>←"conteggio" Bankitalia (stima media MR: 2.560 mld)</t>
  </si>
  <si>
    <t>←"conteggio" Bankitalia (stima media MR: 2.580 mld)</t>
  </si>
  <si>
    <t>←"conteggio" Bankitalia (stima media MR: 2.585 mld)</t>
  </si>
  <si>
    <t>←"conteggio" Bankitalia (stima media MR: 2.575,5 mld)</t>
  </si>
  <si>
    <t>←"conteggio" Bankitalia (stima media MR: 2.577 mld)</t>
  </si>
  <si>
    <t>←"conteggio" Bankitalia (stima media MR: 2.575 mld)</t>
  </si>
  <si>
    <t>2021</t>
  </si>
  <si>
    <t>←"conteggio" Bankitalia (stima media MR: 2.600 mld)</t>
  </si>
  <si>
    <t>←"conteggio" Bankitalia (stima media MR: 2.637 mld)</t>
  </si>
  <si>
    <t>←"conteggio" Bankitalia (stima media MR: 2.646 mld)</t>
  </si>
  <si>
    <t>←"conteggio" Bankitalia (stima media MR: 2.677 mld)</t>
  </si>
  <si>
    <t>←"conteggio" Bankitalia (stima media MR: 2.676 mld)</t>
  </si>
  <si>
    <t>←"conteggio" Bankitalia (stima media MR: 2.694 mld)</t>
  </si>
  <si>
    <t>←"conteggio" Bankitalia (stima media MR: 2.726 mld)</t>
  </si>
  <si>
    <t>←"conteggio" Bankitalia (stima media MR: 2.729 mld)</t>
  </si>
  <si>
    <t>←"conteggio" Bankitalia (stima media MR: 2.706 mld)</t>
  </si>
  <si>
    <t>←"conteggio" Bankitalia (stima media MR: 2.728 mld)</t>
  </si>
  <si>
    <t>←"conteggio" Bankitalia (stima media MR: 2.696 mld)</t>
  </si>
  <si>
    <t>←"conteggio" Bankitalia (stima media MR: 2.673 mld)</t>
  </si>
  <si>
    <t>[fonte]</t>
  </si>
  <si>
    <t>secondi fino alla 23:59:59</t>
  </si>
  <si>
    <t>2022</t>
  </si>
  <si>
    <t>1° gennaio 2022, ore 00:00:00</t>
  </si>
  <si>
    <t>←“conteggio” Bankitalia (stima media MR: 2.701 mld)</t>
  </si>
  <si>
    <t>←“conteggio” Bankitalia (stima media MR: 2.739 mld)</t>
  </si>
  <si>
    <r>
      <rPr>
        <sz val="11"/>
        <color indexed="8"/>
        <rFont val="Calibri"/>
        <family val="2"/>
      </rPr>
      <t>←“conteggio” Bankitalia</t>
    </r>
    <r>
      <rPr>
        <sz val="12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(stima media MR: 2.748 mld)</t>
    </r>
  </si>
  <si>
    <r>
      <rPr>
        <sz val="12"/>
        <color indexed="8"/>
        <rFont val="Calibri"/>
        <family val="2"/>
      </rPr>
      <t>←</t>
    </r>
    <r>
      <rPr>
        <sz val="11"/>
        <color indexed="8"/>
        <rFont val="Calibri"/>
        <family val="2"/>
      </rPr>
      <t>“conteggio”</t>
    </r>
    <r>
      <rPr>
        <sz val="12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Bankitalia</t>
    </r>
    <r>
      <rPr>
        <sz val="12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(stima media MR: 2.746 mld)</t>
    </r>
  </si>
  <si>
    <r>
      <rPr>
        <sz val="12"/>
        <color indexed="8"/>
        <rFont val="Calibri"/>
        <family val="2"/>
      </rPr>
      <t>←</t>
    </r>
    <r>
      <rPr>
        <sz val="11"/>
        <color indexed="8"/>
        <rFont val="Calibri"/>
        <family val="2"/>
      </rPr>
      <t>“conteggio”</t>
    </r>
    <r>
      <rPr>
        <sz val="12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Bankitalia</t>
    </r>
    <r>
      <rPr>
        <sz val="12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(stima media MR: 2.758 mld)</t>
    </r>
  </si>
  <si>
    <r>
      <rPr>
        <sz val="12"/>
        <color indexed="8"/>
        <rFont val="Calibri"/>
        <family val="2"/>
      </rPr>
      <t>←</t>
    </r>
    <r>
      <rPr>
        <sz val="11"/>
        <color indexed="8"/>
        <rFont val="Calibri"/>
        <family val="2"/>
      </rPr>
      <t>“conteggio” Bankitalia</t>
    </r>
    <r>
      <rPr>
        <sz val="12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(stima media MR: 2.766 mld)</t>
    </r>
  </si>
  <si>
    <r>
      <rPr>
        <sz val="12"/>
        <color indexed="8"/>
        <rFont val="Calibri"/>
        <family val="2"/>
      </rPr>
      <t>←</t>
    </r>
    <r>
      <rPr>
        <sz val="11"/>
        <color indexed="8"/>
        <rFont val="Calibri"/>
        <family val="2"/>
      </rPr>
      <t>“conteggio” Bankitalia</t>
    </r>
    <r>
      <rPr>
        <sz val="12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(stima media MR: 2.774 mld)</t>
    </r>
  </si>
  <si>
    <r>
      <rPr>
        <sz val="12"/>
        <color indexed="8"/>
        <rFont val="Calibri"/>
        <family val="2"/>
      </rPr>
      <t>←</t>
    </r>
    <r>
      <rPr>
        <sz val="11"/>
        <color indexed="8"/>
        <rFont val="Calibri"/>
        <family val="2"/>
      </rPr>
      <t>“conteggio” Bankitalia</t>
    </r>
    <r>
      <rPr>
        <sz val="12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(stima media MR: 2.765 mld)</t>
    </r>
  </si>
  <si>
    <r>
      <rPr>
        <sz val="12"/>
        <color indexed="8"/>
        <rFont val="Calibri"/>
        <family val="2"/>
      </rPr>
      <t>←</t>
    </r>
    <r>
      <rPr>
        <sz val="11"/>
        <color indexed="8"/>
        <rFont val="Calibri"/>
        <family val="2"/>
      </rPr>
      <t>“conteggio” Bankitalia</t>
    </r>
    <r>
      <rPr>
        <sz val="12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(stima media MR: 2.735 mld)</t>
    </r>
  </si>
  <si>
    <r>
      <rPr>
        <sz val="12"/>
        <color indexed="8"/>
        <rFont val="Calibri"/>
        <family val="2"/>
      </rPr>
      <t>←</t>
    </r>
    <r>
      <rPr>
        <sz val="11"/>
        <color indexed="8"/>
        <rFont val="Calibri"/>
        <family val="2"/>
      </rPr>
      <t>“conteggio” Bankitalia</t>
    </r>
    <r>
      <rPr>
        <sz val="12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(stima media MR: 2.747 mld)</t>
    </r>
  </si>
  <si>
    <r>
      <rPr>
        <sz val="12"/>
        <color indexed="8"/>
        <rFont val="Calibri"/>
        <family val="2"/>
      </rPr>
      <t>←</t>
    </r>
    <r>
      <rPr>
        <sz val="11"/>
        <color indexed="8"/>
        <rFont val="Calibri"/>
        <family val="2"/>
      </rPr>
      <t>“conteggio” Bankitalia</t>
    </r>
    <r>
      <rPr>
        <sz val="12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(stima media MR: 2.760 mld)</t>
    </r>
  </si>
  <si>
    <r>
      <rPr>
        <sz val="12"/>
        <color indexed="8"/>
        <rFont val="Calibri"/>
        <family val="2"/>
      </rPr>
      <t>←</t>
    </r>
    <r>
      <rPr>
        <sz val="11"/>
        <color indexed="8"/>
        <rFont val="Calibri"/>
        <family val="2"/>
      </rPr>
      <t>“conteggio” Bankitalia</t>
    </r>
    <r>
      <rPr>
        <sz val="12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(stima media MR: 2.756 mld)</t>
    </r>
  </si>
  <si>
    <t>2023</t>
  </si>
  <si>
    <t>1° gennaio 2023, ore 00:00:00</t>
  </si>
  <si>
    <r>
      <rPr>
        <sz val="12"/>
        <color indexed="8"/>
        <rFont val="Calibri"/>
        <family val="2"/>
      </rPr>
      <t>←</t>
    </r>
    <r>
      <rPr>
        <sz val="11"/>
        <color indexed="8"/>
        <rFont val="Calibri"/>
        <family val="2"/>
      </rPr>
      <t>“conteggio” Bankitalia</t>
    </r>
    <r>
      <rPr>
        <sz val="12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(stima media MR: 2.775 mld)</t>
    </r>
  </si>
  <si>
    <r>
      <rPr>
        <sz val="12"/>
        <color indexed="8"/>
        <rFont val="Calibri"/>
        <family val="2"/>
      </rPr>
      <t>←</t>
    </r>
    <r>
      <rPr>
        <sz val="11"/>
        <color indexed="8"/>
        <rFont val="Calibri"/>
        <family val="2"/>
      </rPr>
      <t>“conteggio” Bankitalia</t>
    </r>
    <r>
      <rPr>
        <sz val="12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(stima media MR: 2.786 mld)</t>
    </r>
  </si>
  <si>
    <r>
      <rPr>
        <sz val="12"/>
        <color indexed="8"/>
        <rFont val="Calibri"/>
        <family val="2"/>
      </rPr>
      <t>←</t>
    </r>
    <r>
      <rPr>
        <sz val="11"/>
        <color indexed="8"/>
        <rFont val="Calibri"/>
        <family val="2"/>
      </rPr>
      <t>“conteggio” Bankitalia</t>
    </r>
    <r>
      <rPr>
        <sz val="12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(stima media MR: 2.782 mld)</t>
    </r>
  </si>
  <si>
    <r>
      <rPr>
        <sz val="12"/>
        <color indexed="8"/>
        <rFont val="Calibri"/>
        <family val="2"/>
      </rPr>
      <t>←</t>
    </r>
    <r>
      <rPr>
        <sz val="11"/>
        <color indexed="8"/>
        <rFont val="Calibri"/>
        <family val="2"/>
      </rPr>
      <t>“conteggio” Bankitalia</t>
    </r>
    <r>
      <rPr>
        <sz val="12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(stima media MR: 2.818 mld)</t>
    </r>
  </si>
  <si>
    <r>
      <rPr>
        <sz val="12"/>
        <color indexed="8"/>
        <rFont val="Calibri"/>
        <family val="2"/>
      </rPr>
      <t>←</t>
    </r>
    <r>
      <rPr>
        <sz val="11"/>
        <color indexed="8"/>
        <rFont val="Calibri"/>
        <family val="2"/>
      </rPr>
      <t>“conteggio” Bankitalia</t>
    </r>
    <r>
      <rPr>
        <sz val="12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(stima media MR: 2.815 mld)</t>
    </r>
  </si>
  <si>
    <r>
      <rPr>
        <sz val="12"/>
        <color indexed="8"/>
        <rFont val="Calibri"/>
        <family val="2"/>
      </rPr>
      <t>←</t>
    </r>
    <r>
      <rPr>
        <sz val="11"/>
        <color indexed="8"/>
        <rFont val="Calibri"/>
        <family val="2"/>
      </rPr>
      <t>“conteggio” Bankitalia</t>
    </r>
    <r>
      <rPr>
        <sz val="12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(stima media MR: 2.854 mld)</t>
    </r>
  </si>
  <si>
    <r>
      <rPr>
        <sz val="12"/>
        <color indexed="8"/>
        <rFont val="Calibri"/>
        <family val="2"/>
      </rPr>
      <t>←</t>
    </r>
    <r>
      <rPr>
        <sz val="11"/>
        <color indexed="8"/>
        <rFont val="Calibri"/>
        <family val="2"/>
      </rPr>
      <t>“conteggio” Bankitalia</t>
    </r>
    <r>
      <rPr>
        <sz val="12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(stima media MR: 2.856 mld)</t>
    </r>
  </si>
  <si>
    <r>
      <rPr>
        <sz val="12"/>
        <color indexed="8"/>
        <rFont val="Calibri"/>
        <family val="2"/>
      </rPr>
      <t>←</t>
    </r>
    <r>
      <rPr>
        <sz val="11"/>
        <color indexed="8"/>
        <rFont val="Calibri"/>
        <family val="2"/>
      </rPr>
      <t>“conteggio” Bankitalia</t>
    </r>
    <r>
      <rPr>
        <sz val="12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(stima media MR: 2.841 mld)</t>
    </r>
  </si>
  <si>
    <r>
      <rPr>
        <sz val="12"/>
        <color indexed="8"/>
        <rFont val="Calibri"/>
        <family val="2"/>
      </rPr>
      <t>←</t>
    </r>
    <r>
      <rPr>
        <sz val="11"/>
        <color indexed="8"/>
        <rFont val="Calibri"/>
        <family val="2"/>
      </rPr>
      <t>“conteggio” Bankitalia</t>
    </r>
    <r>
      <rPr>
        <sz val="12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(stima media MR: 2.840 mld)</t>
    </r>
  </si>
  <si>
    <r>
      <rPr>
        <sz val="12"/>
        <color indexed="8"/>
        <rFont val="Calibri"/>
        <family val="2"/>
      </rPr>
      <t>←</t>
    </r>
    <r>
      <rPr>
        <sz val="11"/>
        <color indexed="8"/>
        <rFont val="Calibri"/>
        <family val="2"/>
      </rPr>
      <t>“conteggio” Bankitalia</t>
    </r>
    <r>
      <rPr>
        <sz val="12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(stima media MR: 2.860 mld)</t>
    </r>
  </si>
  <si>
    <r>
      <rPr>
        <sz val="12"/>
        <color indexed="8"/>
        <rFont val="Calibri"/>
        <family val="2"/>
      </rPr>
      <t>←</t>
    </r>
    <r>
      <rPr>
        <sz val="11"/>
        <color indexed="8"/>
        <rFont val="Calibri"/>
        <family val="2"/>
      </rPr>
      <t>“conteggio” Bankitali</t>
    </r>
    <r>
      <rPr>
        <sz val="12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(stima media MR: 2.859 mld)</t>
    </r>
  </si>
  <si>
    <r>
      <rPr>
        <sz val="12"/>
        <color indexed="8"/>
        <rFont val="Calibri"/>
        <family val="2"/>
      </rPr>
      <t>←</t>
    </r>
    <r>
      <rPr>
        <sz val="11"/>
        <color indexed="8"/>
        <rFont val="Calibri"/>
        <family val="2"/>
      </rPr>
      <t>“conteggio” Bankitali</t>
    </r>
    <r>
      <rPr>
        <sz val="12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(stima media MR: 2.856 mld)</t>
    </r>
  </si>
  <si>
    <t>2024</t>
  </si>
  <si>
    <t>1° gennaio 2024, ore 00:00:00</t>
  </si>
  <si>
    <r>
      <rPr>
        <sz val="12"/>
        <color indexed="8"/>
        <rFont val="Calibri"/>
        <family val="2"/>
      </rPr>
      <t xml:space="preserve">←ultimo “conteggio” Bankitalia </t>
    </r>
    <r>
      <rPr>
        <sz val="11"/>
        <color indexed="8"/>
        <rFont val="Calibri"/>
        <family val="2"/>
      </rPr>
      <t>(stima media MR: 2.856 mld)</t>
    </r>
  </si>
  <si>
    <r>
      <rPr>
        <i/>
        <sz val="11"/>
        <color indexed="8"/>
        <rFont val="Calibri"/>
        <family val="2"/>
      </rPr>
      <t>29</t>
    </r>
    <r>
      <rPr>
        <sz val="11"/>
        <color indexed="8"/>
        <rFont val="Calibri"/>
        <family val="2"/>
      </rPr>
      <t>/</t>
    </r>
    <r>
      <rPr>
        <i/>
        <sz val="11"/>
        <color indexed="8"/>
        <rFont val="Calibri"/>
        <family val="2"/>
      </rPr>
      <t>02</t>
    </r>
    <r>
      <rPr>
        <sz val="11"/>
        <color indexed="8"/>
        <rFont val="Calibri"/>
        <family val="2"/>
      </rPr>
      <t>/24</t>
    </r>
  </si>
  <si>
    <t>← debito [medio] stimato da MR al 29 febbraio 2024</t>
  </si>
  <si>
    <t>← debito [medio] stimato da MR al 31 marzo 2024</t>
  </si>
  <si>
    <t>← debito [medio] stimato da MR al 30 giugno 2024</t>
  </si>
  <si>
    <t>m1</t>
  </si>
  <si>
    <t>q1</t>
  </si>
  <si>
    <t>stima debito pubblico trimestrale</t>
  </si>
  <si>
    <t>y1</t>
  </si>
  <si>
    <t>m2</t>
  </si>
  <si>
    <t>q2</t>
  </si>
  <si>
    <t>stima pil trimestrale</t>
  </si>
  <si>
    <t>y2</t>
  </si>
  <si>
    <t>m3</t>
  </si>
  <si>
    <t>q3</t>
  </si>
  <si>
    <t>stima rapporto deficit pil</t>
  </si>
  <si>
    <t>y3</t>
  </si>
  <si>
    <t>m4</t>
  </si>
  <si>
    <t>q4</t>
  </si>
  <si>
    <t>stima Pil (2024)</t>
  </si>
  <si>
    <t>y4</t>
  </si>
  <si>
    <t xml:space="preserve"> {variazione “cumulata”: +0,7}</t>
  </si>
  <si>
    <t xml:space="preserve"> {variazione “cumulata”: +0,8}</t>
  </si>
  <si>
    <t xml:space="preserve"> +0,3% nel I trimestre</t>
  </si>
  <si>
    <t xml:space="preserve"> +0,0% nel II trimestre</t>
  </si>
  <si>
    <t xml:space="preserve"> +0,3% nel III trimestre</t>
  </si>
  <si>
    <t xml:space="preserve"> +0,2% nel IV trimestre</t>
  </si>
  <si>
    <t xml:space="preserve"> {variazione “cumulata”: +0,9}</t>
  </si>
  <si>
    <t>moltiplicato x 1/3 di 0,5</t>
  </si>
  <si>
    <t>moltiplicato x 2/3 di 0,5</t>
  </si>
  <si>
    <r>
      <rPr>
        <sz val="11"/>
        <color indexed="8"/>
        <rFont val="Calibri"/>
        <family val="2"/>
      </rPr>
      <t xml:space="preserve"> +0,5% nel I trimestre</t>
    </r>
    <r>
      <rPr>
        <sz val="9"/>
        <color indexed="8"/>
        <rFont val="Calibri"/>
        <family val="2"/>
      </rPr>
      <t xml:space="preserve"> [*1,005]</t>
    </r>
  </si>
  <si>
    <t>moltiplicato x 1/3 di 0,3</t>
  </si>
  <si>
    <t>moltiplicato x 2/3 di 0,3</t>
  </si>
  <si>
    <r>
      <rPr>
        <sz val="11"/>
        <color indexed="8"/>
        <rFont val="Calibri"/>
        <family val="2"/>
      </rPr>
      <t xml:space="preserve"> +0,3% nel II trimestre</t>
    </r>
    <r>
      <rPr>
        <sz val="9"/>
        <color indexed="8"/>
        <rFont val="Calibri"/>
        <family val="2"/>
      </rPr>
      <t xml:space="preserve"> [*1,003]</t>
    </r>
  </si>
  <si>
    <t>moltiplicato x 1/3 di 0,4</t>
  </si>
  <si>
    <t xml:space="preserve"> moltiplicato x 2/3 di 0,4</t>
  </si>
  <si>
    <r>
      <rPr>
        <sz val="11"/>
        <color indexed="8"/>
        <rFont val="Calibri"/>
        <family val="2"/>
      </rPr>
      <t xml:space="preserve"> +0,4% nel III trimestre</t>
    </r>
    <r>
      <rPr>
        <sz val="9"/>
        <color indexed="8"/>
        <rFont val="Calibri"/>
        <family val="2"/>
      </rPr>
      <t xml:space="preserve"> [*1,004]</t>
    </r>
  </si>
  <si>
    <r>
      <rPr>
        <sz val="11"/>
        <color indexed="8"/>
        <rFont val="Calibri"/>
        <family val="2"/>
      </rPr>
      <t>+0,3% nel IV trimestre</t>
    </r>
    <r>
      <rPr>
        <sz val="9"/>
        <color indexed="8"/>
        <rFont val="Calibri"/>
        <family val="2"/>
      </rPr>
      <t xml:space="preserve"> [*1,003]</t>
    </r>
  </si>
  <si>
    <t>Pil stimato al 31/01/18</t>
  </si>
  <si>
    <t>Pil stimato al 28/02/18</t>
  </si>
  <si>
    <t>+0,3% nel I trimestre [*1,003]</t>
  </si>
  <si>
    <t>Pil stimato al 30/04/18</t>
  </si>
  <si>
    <t>Pil stimato al 31/05/18</t>
  </si>
  <si>
    <t>+0,2% nel II trimestre [*1,002]</t>
  </si>
  <si>
    <r>
      <rPr>
        <sz val="12"/>
        <color indexed="14"/>
        <rFont val="Calibri"/>
        <family val="2"/>
      </rPr>
      <t>-</t>
    </r>
    <r>
      <rPr>
        <sz val="11"/>
        <color indexed="14"/>
        <rFont val="Calibri"/>
        <family val="2"/>
      </rPr>
      <t xml:space="preserve">0,1% nel III trimestre </t>
    </r>
    <r>
      <rPr>
        <sz val="11"/>
        <color indexed="8"/>
        <rFont val="Calibri"/>
        <family val="2"/>
      </rPr>
      <t>[*0,999]</t>
    </r>
  </si>
  <si>
    <t>“             “</t>
  </si>
  <si>
    <r>
      <rPr>
        <b/>
        <sz val="11"/>
        <color indexed="14"/>
        <rFont val="Calibri"/>
        <family val="2"/>
      </rPr>
      <t xml:space="preserve"> </t>
    </r>
    <r>
      <rPr>
        <sz val="11"/>
        <color indexed="14"/>
        <rFont val="Calibri"/>
        <family val="2"/>
      </rPr>
      <t>-0,1% nel IV trimestre</t>
    </r>
    <r>
      <rPr>
        <sz val="11"/>
        <color indexed="8"/>
        <rFont val="Calibri"/>
        <family val="2"/>
      </rPr>
      <t xml:space="preserve"> [*0.999]</t>
    </r>
  </si>
  <si>
    <t>← valore definitivo Istat</t>
  </si>
  <si>
    <t>valore definitivo Istat</t>
  </si>
  <si>
    <t>{+1,2% secondo la NaDef}</t>
  </si>
  <si>
    <r>
      <rPr>
        <sz val="11"/>
        <color indexed="8"/>
        <rFont val="Calibri"/>
        <family val="2"/>
      </rPr>
      <t>+0,9% secondo l’Istat,</t>
    </r>
    <r>
      <rPr>
        <sz val="8"/>
        <color indexed="8"/>
        <rFont val="Calibri"/>
        <family val="2"/>
      </rPr>
      <t xml:space="preserve"> 01/03/’19</t>
    </r>
  </si>
  <si>
    <t xml:space="preserve"> +0,1% nel I trimestre [*1.001] {stima MR}</t>
  </si>
  <si>
    <t xml:space="preserve"> +0.1% nel II trimestre [*1.001] {stima MR}</t>
  </si>
  <si>
    <t>(a partire dalla stima di Agosto, Bankitalia ha rivisto - al rialzo - tutti i valori del debito pubblico)</t>
  </si>
  <si>
    <t>deficit / Pil</t>
  </si>
  <si>
    <t>saldo primario</t>
  </si>
  <si>
    <t>interessi sul debito</t>
  </si>
  <si>
    <r>
      <rPr>
        <sz val="11"/>
        <color indexed="8"/>
        <rFont val="Calibri"/>
        <family val="2"/>
      </rPr>
      <t xml:space="preserve">deficit o </t>
    </r>
    <r>
      <rPr>
        <i/>
        <sz val="11"/>
        <color indexed="8"/>
        <rFont val="Calibri"/>
        <family val="2"/>
      </rPr>
      <t>indebitamento netto</t>
    </r>
  </si>
  <si>
    <t>PIL in miliardi</t>
  </si>
  <si>
    <t>PIL</t>
  </si>
  <si>
    <t>debito / PIL</t>
  </si>
  <si>
    <t xml:space="preserve"> +0.1% nel III trimestre [*1.001] {stima MR}</t>
  </si>
  <si>
    <r>
      <rPr>
        <sz val="12"/>
        <color indexed="14"/>
        <rFont val="Calibri"/>
        <family val="2"/>
      </rPr>
      <t>-</t>
    </r>
    <r>
      <rPr>
        <sz val="11"/>
        <color indexed="14"/>
        <rFont val="Calibri"/>
        <family val="2"/>
      </rPr>
      <t>0,3% nel III trimestre [*0,997]</t>
    </r>
  </si>
  <si>
    <t>{NaDEF 2020, pag. 59}</t>
  </si>
  <si>
    <t>-5,3% {dato definitivo Istat} [*0,947; I trimestre]</t>
  </si>
  <si>
    <t>{fonte}</t>
  </si>
  <si>
    <t>-13% {dato definitivo Istat} [*0,87; II trimestre]</t>
  </si>
  <si>
    <t>+15,9% {dato definitivo Istat} [*1,159; III trimestre]</t>
  </si>
  <si>
    <r>
      <rPr>
        <sz val="12"/>
        <color indexed="8"/>
        <rFont val="Calibri"/>
        <family val="2"/>
      </rPr>
      <t>-8,3%</t>
    </r>
    <r>
      <rPr>
        <sz val="11"/>
        <color indexed="8"/>
        <rFont val="Calibri"/>
        <family val="2"/>
      </rPr>
      <t xml:space="preserve"> {variazione già acquisita; dato Istat </t>
    </r>
    <r>
      <rPr>
        <sz val="9"/>
        <color indexed="8"/>
        <rFont val="Calibri"/>
        <family val="2"/>
      </rPr>
      <t>del 01.12.'20</t>
    </r>
    <r>
      <rPr>
        <sz val="11"/>
        <color indexed="8"/>
        <rFont val="Calibri"/>
        <family val="2"/>
      </rPr>
      <t>} [*0,917]</t>
    </r>
  </si>
  <si>
    <t>(deficit/PIL * PIL)</t>
  </si>
  <si>
    <r>
      <rPr>
        <sz val="11"/>
        <color indexed="8"/>
        <rFont val="Calibri"/>
        <family val="2"/>
      </rPr>
      <t xml:space="preserve">-8,8% {stima MR </t>
    </r>
    <r>
      <rPr>
        <sz val="9"/>
        <color indexed="8"/>
        <rFont val="Calibri"/>
        <family val="2"/>
      </rPr>
      <t>del  04.12.'20</t>
    </r>
    <r>
      <rPr>
        <sz val="11"/>
        <color indexed="8"/>
        <rFont val="Calibri"/>
        <family val="2"/>
      </rPr>
      <t>} [*0,912; in tutto il 2020]</t>
    </r>
  </si>
  <si>
    <t>{stima MR del 04.12.'20}</t>
  </si>
  <si>
    <r>
      <rPr>
        <sz val="11"/>
        <color indexed="8"/>
        <rFont val="Calibri"/>
        <family val="2"/>
      </rPr>
      <t xml:space="preserve">-2% {stima MR </t>
    </r>
    <r>
      <rPr>
        <sz val="9"/>
        <color indexed="8"/>
        <rFont val="Calibri"/>
        <family val="2"/>
      </rPr>
      <t>del  04.12.'20</t>
    </r>
    <r>
      <rPr>
        <sz val="11"/>
        <color indexed="8"/>
        <rFont val="Calibri"/>
        <family val="2"/>
      </rPr>
      <t>} [*0,98; nel IV trimestre]</t>
    </r>
  </si>
  <si>
    <r>
      <rPr>
        <sz val="11"/>
        <color indexed="8"/>
        <rFont val="Calibri"/>
        <family val="2"/>
      </rPr>
      <t xml:space="preserve">(PIL ricavato da debito diviso 161,9 ← stima MR </t>
    </r>
    <r>
      <rPr>
        <sz val="9"/>
        <color indexed="8"/>
        <rFont val="Calibri"/>
        <family val="2"/>
      </rPr>
      <t>del  04.12.'20</t>
    </r>
    <r>
      <rPr>
        <sz val="11"/>
        <color indexed="8"/>
        <rFont val="Calibri"/>
        <family val="2"/>
      </rPr>
      <t>)</t>
    </r>
  </si>
  <si>
    <t>(-11,3% rispetto al 2019)</t>
  </si>
  <si>
    <t>{stima MR del  04.12.'20}</t>
  </si>
  <si>
    <t>-8,9% {valore definitivo Istat}</t>
  </si>
  <si>
    <t>Pil nominale tendenziale {NaDEF 2020, pag. 59}</t>
  </si>
  <si>
    <t>{NaDEf 2020}</t>
  </si>
  <si>
    <t>nota: il dato sottolineato è “definitivo”</t>
  </si>
  <si>
    <t>(2/3 di +0,1%) [*1,0006666]</t>
  </si>
  <si>
    <r>
      <rPr>
        <u val="single"/>
        <sz val="11"/>
        <color indexed="8"/>
        <rFont val="Calibri"/>
        <family val="2"/>
      </rPr>
      <t>+0,1%</t>
    </r>
    <r>
      <rPr>
        <sz val="11"/>
        <color indexed="8"/>
        <rFont val="Calibri"/>
        <family val="2"/>
      </rPr>
      <t xml:space="preserve"> {dato</t>
    </r>
    <r>
      <rPr>
        <u val="single"/>
        <sz val="11"/>
        <color indexed="8"/>
        <rFont val="Calibri"/>
        <family val="2"/>
      </rPr>
      <t xml:space="preserve"> Istat</t>
    </r>
    <r>
      <rPr>
        <sz val="11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del 01.06.'21</t>
    </r>
    <r>
      <rPr>
        <sz val="11"/>
        <color indexed="8"/>
        <rFont val="Calibri"/>
        <family val="2"/>
      </rPr>
      <t>} [</t>
    </r>
    <r>
      <rPr>
        <u val="single"/>
        <sz val="11"/>
        <color indexed="8"/>
        <rFont val="Calibri"/>
        <family val="2"/>
      </rPr>
      <t>*1,001</t>
    </r>
    <r>
      <rPr>
        <sz val="11"/>
        <color indexed="8"/>
        <rFont val="Calibri"/>
        <family val="2"/>
      </rPr>
      <t>]</t>
    </r>
  </si>
  <si>
    <t>{1,15% = 4,6/4) [1,015]</t>
  </si>
  <si>
    <t>(+0,9% = 2,7*1/3)  [*1,0066666]</t>
  </si>
  <si>
    <t>(+1,8% = 2,7*2/3)  [*1,0133333]</t>
  </si>
  <si>
    <r>
      <rPr>
        <u val="single"/>
        <sz val="11"/>
        <color indexed="8"/>
        <rFont val="Calibri"/>
        <family val="2"/>
      </rPr>
      <t xml:space="preserve">+2,7% </t>
    </r>
    <r>
      <rPr>
        <sz val="11"/>
        <color indexed="8"/>
        <rFont val="Calibri"/>
        <family val="2"/>
      </rPr>
      <t xml:space="preserve"> (stima Istat </t>
    </r>
    <r>
      <rPr>
        <sz val="9"/>
        <color indexed="8"/>
        <rFont val="Calibri"/>
        <family val="2"/>
      </rPr>
      <t>del 30.07.'21</t>
    </r>
    <r>
      <rPr>
        <sz val="11"/>
        <color indexed="8"/>
        <rFont val="Calibri"/>
        <family val="2"/>
      </rPr>
      <t>) [*1,027]</t>
    </r>
  </si>
  <si>
    <t>(+0,86% = 2,6*1/3)  [*1,00866666]</t>
  </si>
  <si>
    <t>(+1,73% = 2,2*2/3)  [*1,01733333]</t>
  </si>
  <si>
    <r>
      <rPr>
        <u val="single"/>
        <sz val="11"/>
        <color indexed="8"/>
        <rFont val="Calibri"/>
        <family val="2"/>
      </rPr>
      <t>+2,6%</t>
    </r>
    <r>
      <rPr>
        <sz val="11"/>
        <color indexed="8"/>
        <rFont val="Calibri"/>
        <family val="2"/>
      </rPr>
      <t xml:space="preserve"> {stima MR </t>
    </r>
    <r>
      <rPr>
        <sz val="9"/>
        <color indexed="8"/>
        <rFont val="Calibri"/>
        <family val="2"/>
      </rPr>
      <t>del 30.10.'21</t>
    </r>
    <r>
      <rPr>
        <sz val="11"/>
        <color indexed="8"/>
        <rFont val="Calibri"/>
        <family val="2"/>
      </rPr>
      <t>} [*1,026]</t>
    </r>
  </si>
  <si>
    <t>(1/3 di +0,4%) [*1,00133333]</t>
  </si>
  <si>
    <t>(2/3 di +0,4%) [*1,00266666]</t>
  </si>
  <si>
    <r>
      <rPr>
        <u val="single"/>
        <sz val="11"/>
        <color indexed="8"/>
        <rFont val="Calibri"/>
        <family val="2"/>
      </rPr>
      <t>+0,8%</t>
    </r>
    <r>
      <rPr>
        <sz val="11"/>
        <color indexed="8"/>
        <rFont val="Calibri"/>
        <family val="2"/>
      </rPr>
      <t xml:space="preserve"> {stima Istat per il IV trimestre} [*1,008]</t>
    </r>
  </si>
  <si>
    <t>+6,7%  {stima Istat per il 2021} [*1,067]</t>
  </si>
  <si>
    <t>Istat (01.03.’23)</t>
  </si>
  <si>
    <t>{NaDEF 2021}</t>
  </si>
  <si>
    <r>
      <rPr>
        <b/>
        <sz val="11"/>
        <color indexed="8"/>
        <rFont val="Calibri"/>
        <family val="2"/>
      </rPr>
      <t xml:space="preserve">← valore stimato dall’Istat </t>
    </r>
    <r>
      <rPr>
        <sz val="11"/>
        <color indexed="8"/>
        <rFont val="Calibri"/>
        <family val="2"/>
      </rPr>
      <t>(pdf 22.09.2023)</t>
    </r>
  </si>
  <si>
    <r>
      <rPr>
        <b/>
        <sz val="12"/>
        <color indexed="8"/>
        <rFont val="Calibri"/>
        <family val="2"/>
      </rPr>
      <t>+8,3%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{nota Istat</t>
    </r>
    <r>
      <rPr>
        <sz val="9"/>
        <color indexed="8"/>
        <rFont val="Calibri"/>
        <family val="2"/>
      </rPr>
      <t xml:space="preserve"> del 22.09.'23</t>
    </r>
    <r>
      <rPr>
        <sz val="11"/>
        <color indexed="8"/>
        <rFont val="Calibri"/>
        <family val="2"/>
      </rPr>
      <t>}</t>
    </r>
    <r>
      <rPr>
        <sz val="10"/>
        <color indexed="8"/>
        <rFont val="Calibri"/>
        <family val="2"/>
      </rPr>
      <t xml:space="preserve"> [*1,083]</t>
    </r>
  </si>
  <si>
    <r>
      <rPr>
        <b/>
        <u val="single"/>
        <sz val="11"/>
        <color indexed="8"/>
        <rFont val="Calibri"/>
        <family val="2"/>
      </rPr>
      <t>+0,2%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{stima Istat} [*1,001]</t>
    </r>
  </si>
  <si>
    <t>+0,0036666% (+1,1% 1/3) [*1,003666]</t>
  </si>
  <si>
    <t>+0,0073333% (+1,1% 2/3) [*1,007333]</t>
  </si>
  <si>
    <r>
      <rPr>
        <b/>
        <sz val="11"/>
        <color indexed="8"/>
        <rFont val="Calibri"/>
        <family val="2"/>
      </rPr>
      <t>+1,1%</t>
    </r>
    <r>
      <rPr>
        <sz val="9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[*1,011]</t>
    </r>
  </si>
  <si>
    <t>+0,00166% (+0,5% 1/3) [*1,001666]</t>
  </si>
  <si>
    <t>+0,00333% (+0,5% 2/3) [*1,003333]</t>
  </si>
  <si>
    <r>
      <rPr>
        <b/>
        <sz val="11"/>
        <color indexed="8"/>
        <rFont val="Calibri"/>
        <family val="2"/>
      </rPr>
      <t>+0,5%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{stima MR del 31.10.'22} [*1,005]</t>
    </r>
  </si>
  <si>
    <r>
      <rPr>
        <b/>
        <sz val="11"/>
        <color indexed="8"/>
        <rFont val="Calibri"/>
        <family val="2"/>
      </rPr>
      <t>-0,1%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{stima Istat</t>
    </r>
    <r>
      <rPr>
        <sz val="9"/>
        <color indexed="8"/>
        <rFont val="Calibri"/>
        <family val="2"/>
      </rPr>
      <t xml:space="preserve"> del 31.01.’23</t>
    </r>
    <r>
      <rPr>
        <sz val="10"/>
        <color indexed="8"/>
        <rFont val="Calibri"/>
        <family val="2"/>
      </rPr>
      <t>} [*0.999]</t>
    </r>
  </si>
  <si>
    <r>
      <rPr>
        <sz val="10"/>
        <color indexed="8"/>
        <rFont val="Calibri"/>
        <family val="2"/>
      </rPr>
      <t>+3,9%</t>
    </r>
    <r>
      <rPr>
        <b/>
        <sz val="11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{stima MR del 31.10.'22} [*1,039]</t>
    </r>
    <r>
      <rPr>
        <sz val="11"/>
        <color indexed="8"/>
        <rFont val="Calibri"/>
        <family val="2"/>
      </rPr>
      <t xml:space="preserve"> (</t>
    </r>
    <r>
      <rPr>
        <i/>
        <sz val="11"/>
        <color indexed="8"/>
        <rFont val="Calibri"/>
        <family val="2"/>
      </rPr>
      <t>pil reale</t>
    </r>
    <r>
      <rPr>
        <sz val="11"/>
        <color indexed="8"/>
        <rFont val="Calibri"/>
        <family val="2"/>
      </rPr>
      <t>)</t>
    </r>
  </si>
  <si>
    <t>← valore del pil necessario ad avere un rapporto del 145,4%</t>
  </si>
  <si>
    <t>← secondo la NaDef</t>
  </si>
  <si>
    <r>
      <rPr>
        <sz val="10"/>
        <color indexed="8"/>
        <rFont val="Calibri"/>
        <family val="2"/>
      </rPr>
      <t>(</t>
    </r>
    <r>
      <rPr>
        <i/>
        <sz val="11"/>
        <color indexed="8"/>
        <rFont val="Calibri"/>
        <family val="2"/>
      </rPr>
      <t>pil nominale</t>
    </r>
    <r>
      <rPr>
        <sz val="10"/>
        <color indexed="8"/>
        <rFont val="Calibri"/>
        <family val="2"/>
      </rPr>
      <t>, quello utilizzato dall’Ue nei vincoli del “debito” e deficit)</t>
    </r>
  </si>
  <si>
    <r>
      <rPr>
        <b/>
        <sz val="11"/>
        <color indexed="8"/>
        <rFont val="Calibri"/>
        <family val="2"/>
      </rPr>
      <t>+0,6%</t>
    </r>
    <r>
      <rPr>
        <sz val="11"/>
        <color indexed="8"/>
        <rFont val="Calibri"/>
        <family val="2"/>
      </rPr>
      <t xml:space="preserve"> {nota Istat</t>
    </r>
    <r>
      <rPr>
        <sz val="9"/>
        <color indexed="8"/>
        <rFont val="Calibri"/>
        <family val="2"/>
      </rPr>
      <t xml:space="preserve"> del 31.05.’23</t>
    </r>
    <r>
      <rPr>
        <sz val="11"/>
        <color indexed="8"/>
        <rFont val="Calibri"/>
        <family val="2"/>
      </rPr>
      <t>}</t>
    </r>
    <r>
      <rPr>
        <sz val="10"/>
        <color indexed="8"/>
        <rFont val="Calibri"/>
        <family val="2"/>
      </rPr>
      <t xml:space="preserve"> [*1,006] </t>
    </r>
    <r>
      <rPr>
        <sz val="12"/>
        <color indexed="8"/>
        <rFont val="Calibri"/>
        <family val="2"/>
      </rPr>
      <t>(i trim.)</t>
    </r>
  </si>
  <si>
    <t>*</t>
  </si>
  <si>
    <r>
      <rPr>
        <sz val="10.5"/>
        <color indexed="61"/>
        <rFont val="Calibri"/>
        <family val="2"/>
      </rPr>
      <t>-0,3%</t>
    </r>
    <r>
      <rPr>
        <sz val="11"/>
        <color indexed="8"/>
        <rFont val="Calibri"/>
        <family val="2"/>
      </rPr>
      <t xml:space="preserve"> </t>
    </r>
    <r>
      <rPr>
        <sz val="10.5"/>
        <color indexed="8"/>
        <rFont val="Calibri"/>
        <family val="2"/>
      </rPr>
      <t>{stima Istat</t>
    </r>
    <r>
      <rPr>
        <sz val="9"/>
        <color indexed="8"/>
        <rFont val="Calibri"/>
        <family val="2"/>
      </rPr>
      <t xml:space="preserve"> del 01.09.’23</t>
    </r>
    <r>
      <rPr>
        <sz val="10.5"/>
        <color indexed="8"/>
        <rFont val="Calibri"/>
        <family val="2"/>
      </rPr>
      <t>}</t>
    </r>
    <r>
      <rPr>
        <sz val="10"/>
        <color indexed="8"/>
        <rFont val="Calibri"/>
        <family val="2"/>
      </rPr>
      <t xml:space="preserve"> [*0,97] </t>
    </r>
    <r>
      <rPr>
        <sz val="12"/>
        <color indexed="8"/>
        <rFont val="Calibri"/>
        <family val="2"/>
      </rPr>
      <t>(ii trim.)</t>
    </r>
  </si>
  <si>
    <t>* “fonte” (http://www.francomostacci.it/wp-content/uploads/2015/01/2023T3_ContiPAa.png)</t>
  </si>
  <si>
    <r>
      <rPr>
        <sz val="10.5"/>
        <color indexed="8"/>
        <rFont val="Calibri"/>
        <family val="2"/>
      </rPr>
      <t>+0,1%</t>
    </r>
    <r>
      <rPr>
        <sz val="11"/>
        <color indexed="8"/>
        <rFont val="Calibri"/>
        <family val="2"/>
      </rPr>
      <t xml:space="preserve"> {</t>
    </r>
    <r>
      <rPr>
        <sz val="10.5"/>
        <color indexed="8"/>
        <rFont val="Calibri"/>
        <family val="2"/>
      </rPr>
      <t>stima Istat</t>
    </r>
    <r>
      <rPr>
        <sz val="9"/>
        <color indexed="8"/>
        <rFont val="Calibri"/>
        <family val="2"/>
      </rPr>
      <t xml:space="preserve"> del 01.12.’23}</t>
    </r>
    <r>
      <rPr>
        <sz val="12"/>
        <color indexed="8"/>
        <rFont val="Calibri"/>
        <family val="2"/>
      </rPr>
      <t xml:space="preserve"> (iii trim.)</t>
    </r>
  </si>
  <si>
    <t>+0.06666% (0,2% 1/3) [*1,0006666666]</t>
  </si>
  <si>
    <t>+0,13333% (0,2% 2/3) [*1,0013333333]</t>
  </si>
  <si>
    <r>
      <rPr>
        <sz val="10"/>
        <color indexed="8"/>
        <rFont val="Calibri"/>
        <family val="2"/>
      </rPr>
      <t xml:space="preserve">+0,2% {stima MR </t>
    </r>
    <r>
      <rPr>
        <sz val="9"/>
        <color indexed="8"/>
        <rFont val="Calibri"/>
        <family val="2"/>
      </rPr>
      <t>del 30.01'24</t>
    </r>
    <r>
      <rPr>
        <sz val="10"/>
        <color indexed="8"/>
        <rFont val="Calibri"/>
        <family val="2"/>
      </rPr>
      <t xml:space="preserve">} [*1,002] </t>
    </r>
    <r>
      <rPr>
        <sz val="12"/>
        <color indexed="8"/>
        <rFont val="Calibri"/>
        <family val="2"/>
      </rPr>
      <t>(iv trim.)</t>
    </r>
  </si>
  <si>
    <r>
      <rPr>
        <sz val="10"/>
        <color indexed="8"/>
        <rFont val="Calibri"/>
        <family val="2"/>
      </rPr>
      <t xml:space="preserve">+0,7% {stima MR </t>
    </r>
    <r>
      <rPr>
        <sz val="9"/>
        <color indexed="8"/>
        <rFont val="Calibri"/>
        <family val="2"/>
      </rPr>
      <t>del 30.01.'24</t>
    </r>
    <r>
      <rPr>
        <sz val="10"/>
        <color indexed="8"/>
        <rFont val="Calibri"/>
        <family val="2"/>
      </rPr>
      <t>} [*1,007] (per l’anno)</t>
    </r>
  </si>
  <si>
    <t>+0,7% {stima crescita secondo la NaDEF 2023}</t>
  </si>
  <si>
    <t>← valore stimato dall’Istat il 01.03.2024 (cresciuto dello 0.9%)</t>
  </si>
  <si>
    <t>**</t>
  </si>
  <si>
    <t>** “fonte” (http://www.francomostacci.it/wp-content/uploads/2015/03/2023_cn_tavsaldi.png)</t>
  </si>
  <si>
    <t>+0.0333333% (0,1% 1/3) [*1,00033333]</t>
  </si>
  <si>
    <r>
      <rPr>
        <sz val="10.5"/>
        <color indexed="8"/>
        <rFont val="Calibri"/>
        <family val="2"/>
      </rPr>
      <t>+0,1%</t>
    </r>
    <r>
      <rPr>
        <sz val="11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{stima MR </t>
    </r>
    <r>
      <rPr>
        <sz val="9"/>
        <color indexed="8"/>
        <rFont val="Calibri"/>
        <family val="2"/>
      </rPr>
      <t>del 06.03.'24</t>
    </r>
    <r>
      <rPr>
        <sz val="10"/>
        <color indexed="8"/>
        <rFont val="Calibri"/>
        <family val="2"/>
      </rPr>
      <t>} [*1,001] (I trimestre)</t>
    </r>
  </si>
  <si>
    <r>
      <rPr>
        <sz val="10.5"/>
        <color indexed="8"/>
        <rFont val="Calibri"/>
        <family val="2"/>
      </rPr>
      <t>+0,2%</t>
    </r>
    <r>
      <rPr>
        <sz val="11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{stima MR </t>
    </r>
    <r>
      <rPr>
        <sz val="9"/>
        <color indexed="8"/>
        <rFont val="Calibri"/>
        <family val="2"/>
      </rPr>
      <t>del 06.03.'24</t>
    </r>
    <r>
      <rPr>
        <sz val="10"/>
        <color indexed="8"/>
        <rFont val="Calibri"/>
        <family val="2"/>
      </rPr>
      <t>} [*1,002] (II trimestre)</t>
    </r>
  </si>
  <si>
    <r>
      <rPr>
        <sz val="10.5"/>
        <color indexed="8"/>
        <rFont val="Calibri"/>
        <family val="2"/>
      </rPr>
      <t>+0,3%</t>
    </r>
    <r>
      <rPr>
        <sz val="11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{stima MR </t>
    </r>
    <r>
      <rPr>
        <sz val="9"/>
        <color indexed="8"/>
        <rFont val="Calibri"/>
        <family val="2"/>
      </rPr>
      <t>del 06.03.'24</t>
    </r>
    <r>
      <rPr>
        <sz val="10"/>
        <color indexed="8"/>
        <rFont val="Calibri"/>
        <family val="2"/>
      </rPr>
      <t xml:space="preserve">} [*1,003] </t>
    </r>
    <r>
      <rPr>
        <b/>
        <sz val="10"/>
        <color indexed="8"/>
        <rFont val="Calibri"/>
        <family val="2"/>
      </rPr>
      <t>(</t>
    </r>
    <r>
      <rPr>
        <sz val="10"/>
        <color indexed="8"/>
        <rFont val="Calibri"/>
        <family val="2"/>
      </rPr>
      <t>III trimestre</t>
    </r>
    <r>
      <rPr>
        <b/>
        <sz val="10"/>
        <color indexed="8"/>
        <rFont val="Calibri"/>
        <family val="2"/>
      </rPr>
      <t>)</t>
    </r>
  </si>
  <si>
    <r>
      <rPr>
        <sz val="10.5"/>
        <color indexed="25"/>
        <rFont val="Calibri"/>
        <family val="2"/>
      </rPr>
      <t>-0,1%</t>
    </r>
    <r>
      <rPr>
        <sz val="11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{stima MR </t>
    </r>
    <r>
      <rPr>
        <sz val="9"/>
        <color indexed="8"/>
        <rFont val="Calibri"/>
        <family val="2"/>
      </rPr>
      <t>del 06.03.'24</t>
    </r>
    <r>
      <rPr>
        <sz val="10"/>
        <color indexed="8"/>
        <rFont val="Calibri"/>
        <family val="2"/>
      </rPr>
      <t>} [*0,999] (IV trimestre)</t>
    </r>
  </si>
  <si>
    <r>
      <rPr>
        <sz val="10.5"/>
        <color indexed="8"/>
        <rFont val="Calibri"/>
        <family val="2"/>
      </rPr>
      <t xml:space="preserve">+0,6% {stima MR </t>
    </r>
    <r>
      <rPr>
        <sz val="9"/>
        <color indexed="8"/>
        <rFont val="Calibri"/>
        <family val="2"/>
      </rPr>
      <t>del 06.03.’24</t>
    </r>
    <r>
      <rPr>
        <sz val="10.5"/>
        <color indexed="8"/>
        <rFont val="Calibri"/>
        <family val="2"/>
      </rPr>
      <t>} è*1,006] (per il 2024)</t>
    </r>
  </si>
  <si>
    <t>← pil nominale</t>
  </si>
  <si>
    <t>(NaDEf 2023)</t>
  </si>
  <si>
    <t>(la fonte è nel commento; pag. 55)</t>
  </si>
</sst>
</file>

<file path=xl/styles.xml><?xml version="1.0" encoding="utf-8"?>
<styleSheet xmlns="http://schemas.openxmlformats.org/spreadsheetml/2006/main">
  <numFmts count="32">
    <numFmt numFmtId="164" formatCode="General"/>
    <numFmt numFmtId="165" formatCode="@"/>
    <numFmt numFmtId="166" formatCode="0"/>
    <numFmt numFmtId="167" formatCode="dd/mm/yy"/>
    <numFmt numFmtId="168" formatCode="0.000"/>
    <numFmt numFmtId="169" formatCode="General"/>
    <numFmt numFmtId="170" formatCode="#,##0;[RED]\-#,##0"/>
    <numFmt numFmtId="171" formatCode="#.00;[RED]\-#.00"/>
    <numFmt numFmtId="172" formatCode="#,##0"/>
    <numFmt numFmtId="173" formatCode="#,###;[RED]\-#,###"/>
    <numFmt numFmtId="174" formatCode="0.00;[RED]\-0.00"/>
    <numFmt numFmtId="175" formatCode="#,###"/>
    <numFmt numFmtId="176" formatCode="0.0000000000000000"/>
    <numFmt numFmtId="177" formatCode="0.00000"/>
    <numFmt numFmtId="178" formatCode="0.00"/>
    <numFmt numFmtId="179" formatCode="0.00000000000000000"/>
    <numFmt numFmtId="180" formatCode="0.0;[RED]\-0.0"/>
    <numFmt numFmtId="181" formatCode="0.000;[RED]\-0.000"/>
    <numFmt numFmtId="182" formatCode="#,###.00"/>
    <numFmt numFmtId="183" formatCode="0.0"/>
    <numFmt numFmtId="184" formatCode="#,###.000;[RED]\-#,###.000"/>
    <numFmt numFmtId="185" formatCode="#,###.00;[RED]\-#,###.00"/>
    <numFmt numFmtId="186" formatCode="#,##0.0"/>
    <numFmt numFmtId="187" formatCode="#"/>
    <numFmt numFmtId="188" formatCode="#,##0.000"/>
    <numFmt numFmtId="189" formatCode="#,##0.0;[RED]\-#,##0.0"/>
    <numFmt numFmtId="190" formatCode="#,##0.000;[RED]\-#,##0.000"/>
    <numFmt numFmtId="191" formatCode="#,###.000"/>
    <numFmt numFmtId="192" formatCode="0.00%"/>
    <numFmt numFmtId="193" formatCode="#.0"/>
    <numFmt numFmtId="194" formatCode="dd/mm/yyyy"/>
    <numFmt numFmtId="195" formatCode="#.0;[RED]\-#.0"/>
  </numFmts>
  <fonts count="6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5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u val="single"/>
      <sz val="10"/>
      <color indexed="39"/>
      <name val="Calibri"/>
      <family val="2"/>
    </font>
    <font>
      <sz val="11"/>
      <color indexed="62"/>
      <name val="Calibri"/>
      <family val="2"/>
    </font>
    <font>
      <sz val="10"/>
      <color indexed="19"/>
      <name val="Calibri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2"/>
      <color indexed="54"/>
      <name val="Calibri"/>
      <family val="2"/>
    </font>
    <font>
      <b/>
      <i/>
      <sz val="12"/>
      <color indexed="54"/>
      <name val="Calibri"/>
      <family val="2"/>
    </font>
    <font>
      <sz val="9"/>
      <color indexed="8"/>
      <name val="Calibri"/>
      <family val="2"/>
    </font>
    <font>
      <sz val="11"/>
      <color indexed="54"/>
      <name val="Calibri"/>
      <family val="2"/>
    </font>
    <font>
      <sz val="8"/>
      <color indexed="8"/>
      <name val="Calibri"/>
      <family val="2"/>
    </font>
    <font>
      <sz val="11"/>
      <color indexed="8"/>
      <name val="Webdings"/>
      <family val="1"/>
    </font>
    <font>
      <sz val="10.5"/>
      <color indexed="8"/>
      <name val="Calibri"/>
      <family val="2"/>
    </font>
    <font>
      <sz val="11"/>
      <color indexed="14"/>
      <name val="Calibri"/>
      <family val="2"/>
    </font>
    <font>
      <sz val="12"/>
      <color indexed="14"/>
      <name val="Calibri"/>
      <family val="2"/>
    </font>
    <font>
      <b/>
      <sz val="11"/>
      <color indexed="14"/>
      <name val="Calibri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sz val="11"/>
      <color indexed="38"/>
      <name val="Calibri"/>
      <family val="2"/>
    </font>
    <font>
      <sz val="11"/>
      <color indexed="40"/>
      <name val="Calibri"/>
      <family val="2"/>
    </font>
    <font>
      <sz val="9"/>
      <color indexed="12"/>
      <name val="Calibri"/>
      <family val="2"/>
    </font>
    <font>
      <b/>
      <sz val="12"/>
      <color indexed="25"/>
      <name val="Calibri"/>
      <family val="2"/>
    </font>
    <font>
      <sz val="13"/>
      <color indexed="8"/>
      <name val="Calibri"/>
      <family val="2"/>
    </font>
    <font>
      <sz val="13"/>
      <color indexed="14"/>
      <name val="Calibri"/>
      <family val="2"/>
    </font>
    <font>
      <i/>
      <sz val="11"/>
      <color indexed="14"/>
      <name val="Calibri"/>
      <family val="2"/>
    </font>
    <font>
      <i/>
      <sz val="12"/>
      <color indexed="8"/>
      <name val="Calibri"/>
      <family val="2"/>
    </font>
    <font>
      <sz val="10"/>
      <color indexed="24"/>
      <name val="Calibri"/>
      <family val="2"/>
    </font>
    <font>
      <u val="single"/>
      <sz val="11"/>
      <color indexed="8"/>
      <name val="Calibri"/>
      <family val="2"/>
    </font>
    <font>
      <sz val="11"/>
      <color indexed="8"/>
      <name val="Wingdings 3"/>
      <family val="1"/>
    </font>
    <font>
      <b/>
      <u val="single"/>
      <sz val="11"/>
      <color indexed="8"/>
      <name val="Calibri"/>
      <family val="2"/>
    </font>
    <font>
      <strike/>
      <sz val="11"/>
      <color indexed="8"/>
      <name val="Calibri"/>
      <family val="2"/>
    </font>
    <font>
      <b/>
      <sz val="13"/>
      <color indexed="8"/>
      <name val="Calibri"/>
      <family val="2"/>
    </font>
    <font>
      <sz val="10.5"/>
      <color indexed="61"/>
      <name val="Calibri"/>
      <family val="2"/>
    </font>
    <font>
      <b/>
      <sz val="11"/>
      <color indexed="10"/>
      <name val="Calibri"/>
      <family val="2"/>
    </font>
    <font>
      <sz val="10.5"/>
      <color indexed="25"/>
      <name val="Calibri"/>
      <family val="2"/>
    </font>
    <font>
      <b/>
      <sz val="12"/>
      <color indexed="10"/>
      <name val="Calibri"/>
      <family val="2"/>
    </font>
    <font>
      <sz val="10"/>
      <color indexed="8"/>
      <name val="Arial"/>
      <family val="2"/>
    </font>
    <font>
      <b/>
      <sz val="8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</borders>
  <cellStyleXfs count="7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4" fillId="18" borderId="0" applyNumberFormat="0" applyBorder="0" applyAlignment="0" applyProtection="0"/>
    <xf numFmtId="164" fontId="4" fillId="0" borderId="0" applyNumberFormat="0" applyFill="0" applyBorder="0" applyAlignment="0" applyProtection="0"/>
    <xf numFmtId="164" fontId="5" fillId="19" borderId="0" applyNumberFormat="0" applyBorder="0" applyAlignment="0" applyProtection="0"/>
    <xf numFmtId="164" fontId="6" fillId="20" borderId="1" applyNumberFormat="0" applyAlignment="0" applyProtection="0"/>
    <xf numFmtId="164" fontId="7" fillId="0" borderId="2" applyNumberFormat="0" applyFill="0" applyAlignment="0" applyProtection="0"/>
    <xf numFmtId="164" fontId="8" fillId="21" borderId="3" applyNumberFormat="0" applyAlignment="0" applyProtection="0"/>
    <xf numFmtId="164" fontId="2" fillId="22" borderId="0" applyNumberFormat="0" applyBorder="0" applyAlignment="0" applyProtection="0"/>
    <xf numFmtId="164" fontId="2" fillId="23" borderId="0" applyNumberFormat="0" applyBorder="0" applyAlignment="0" applyProtection="0"/>
    <xf numFmtId="164" fontId="2" fillId="24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5" borderId="0" applyNumberFormat="0" applyBorder="0" applyAlignment="0" applyProtection="0"/>
    <xf numFmtId="164" fontId="9" fillId="26" borderId="0" applyNumberFormat="0" applyBorder="0" applyAlignment="0" applyProtection="0"/>
    <xf numFmtId="164" fontId="10" fillId="0" borderId="0" applyNumberFormat="0" applyFill="0" applyBorder="0" applyAlignment="0" applyProtection="0"/>
    <xf numFmtId="164" fontId="11" fillId="4" borderId="0" applyNumberFormat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7" borderId="1" applyNumberFormat="0" applyAlignment="0" applyProtection="0"/>
    <xf numFmtId="164" fontId="17" fillId="27" borderId="0" applyNumberFormat="0" applyBorder="0" applyAlignment="0" applyProtection="0"/>
    <xf numFmtId="164" fontId="18" fillId="28" borderId="0" applyNumberFormat="0" applyBorder="0" applyAlignment="0" applyProtection="0"/>
    <xf numFmtId="164" fontId="0" fillId="27" borderId="4" applyNumberFormat="0" applyAlignment="0" applyProtection="0"/>
    <xf numFmtId="164" fontId="19" fillId="27" borderId="1" applyNumberFormat="0" applyAlignment="0" applyProtection="0"/>
    <xf numFmtId="164" fontId="20" fillId="20" borderId="5" applyNumberFormat="0" applyAlignment="0" applyProtection="0"/>
    <xf numFmtId="164" fontId="0" fillId="0" borderId="0" applyNumberFormat="0" applyFill="0" applyBorder="0" applyAlignment="0" applyProtection="0"/>
    <xf numFmtId="164" fontId="21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23" fillId="0" borderId="6" applyNumberFormat="0" applyFill="0" applyAlignment="0" applyProtection="0"/>
    <xf numFmtId="164" fontId="24" fillId="0" borderId="7" applyNumberFormat="0" applyFill="0" applyAlignment="0" applyProtection="0"/>
    <xf numFmtId="164" fontId="25" fillId="0" borderId="8" applyNumberFormat="0" applyFill="0" applyAlignment="0" applyProtection="0"/>
    <xf numFmtId="164" fontId="25" fillId="0" borderId="0" applyNumberFormat="0" applyFill="0" applyBorder="0" applyAlignment="0" applyProtection="0"/>
    <xf numFmtId="164" fontId="26" fillId="0" borderId="0" applyNumberFormat="0" applyFill="0" applyBorder="0" applyAlignment="0" applyProtection="0"/>
    <xf numFmtId="164" fontId="27" fillId="0" borderId="9" applyNumberFormat="0" applyFill="0" applyAlignment="0" applyProtection="0"/>
    <xf numFmtId="164" fontId="28" fillId="3" borderId="0" applyNumberFormat="0" applyBorder="0" applyAlignment="0" applyProtection="0"/>
    <xf numFmtId="164" fontId="29" fillId="4" borderId="0" applyNumberFormat="0" applyBorder="0" applyAlignment="0" applyProtection="0"/>
    <xf numFmtId="164" fontId="5" fillId="0" borderId="0" applyNumberFormat="0" applyFill="0" applyBorder="0" applyAlignment="0" applyProtection="0"/>
  </cellStyleXfs>
  <cellXfs count="222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 horizontal="center"/>
    </xf>
    <xf numFmtId="165" fontId="30" fillId="0" borderId="0" xfId="0" applyNumberFormat="1" applyFont="1" applyBorder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31" fillId="0" borderId="0" xfId="0" applyFont="1" applyBorder="1" applyAlignment="1">
      <alignment horizontal="center"/>
    </xf>
    <xf numFmtId="166" fontId="30" fillId="0" borderId="0" xfId="0" applyNumberFormat="1" applyFont="1" applyBorder="1" applyAlignment="1">
      <alignment horizontal="center"/>
    </xf>
    <xf numFmtId="164" fontId="31" fillId="0" borderId="0" xfId="0" applyFont="1" applyBorder="1" applyAlignment="1">
      <alignment horizontal="left"/>
    </xf>
    <xf numFmtId="166" fontId="31" fillId="0" borderId="0" xfId="0" applyNumberFormat="1" applyFont="1" applyBorder="1" applyAlignment="1">
      <alignment horizontal="center"/>
    </xf>
    <xf numFmtId="164" fontId="32" fillId="0" borderId="0" xfId="0" applyFont="1" applyBorder="1" applyAlignment="1">
      <alignment horizontal="center"/>
    </xf>
    <xf numFmtId="165" fontId="27" fillId="0" borderId="0" xfId="0" applyNumberFormat="1" applyFont="1" applyAlignment="1">
      <alignment horizontal="center"/>
    </xf>
    <xf numFmtId="167" fontId="0" fillId="0" borderId="0" xfId="0" applyNumberFormat="1" applyAlignment="1">
      <alignment/>
    </xf>
    <xf numFmtId="165" fontId="0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6" fontId="33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167" fontId="33" fillId="0" borderId="0" xfId="0" applyNumberFormat="1" applyFont="1" applyBorder="1" applyAlignment="1">
      <alignment/>
    </xf>
    <xf numFmtId="168" fontId="0" fillId="0" borderId="0" xfId="0" applyNumberFormat="1" applyAlignment="1">
      <alignment horizontal="center"/>
    </xf>
    <xf numFmtId="165" fontId="33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33" fillId="0" borderId="0" xfId="0" applyNumberFormat="1" applyFont="1" applyAlignment="1">
      <alignment/>
    </xf>
    <xf numFmtId="167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164" fontId="34" fillId="0" borderId="0" xfId="0" applyFont="1" applyAlignment="1">
      <alignment horizontal="center"/>
    </xf>
    <xf numFmtId="164" fontId="32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164" fontId="0" fillId="0" borderId="0" xfId="0" applyFont="1" applyAlignment="1">
      <alignment/>
    </xf>
    <xf numFmtId="167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 horizontal="center"/>
    </xf>
    <xf numFmtId="164" fontId="0" fillId="0" borderId="0" xfId="0" applyFont="1" applyAlignment="1">
      <alignment horizontal="left"/>
    </xf>
    <xf numFmtId="164" fontId="35" fillId="0" borderId="0" xfId="0" applyFont="1" applyAlignment="1">
      <alignment/>
    </xf>
    <xf numFmtId="165" fontId="2" fillId="16" borderId="0" xfId="0" applyNumberFormat="1" applyFont="1" applyFill="1" applyAlignment="1">
      <alignment horizontal="center"/>
    </xf>
    <xf numFmtId="166" fontId="2" fillId="16" borderId="0" xfId="0" applyNumberFormat="1" applyFont="1" applyFill="1" applyAlignment="1">
      <alignment horizontal="center"/>
    </xf>
    <xf numFmtId="164" fontId="2" fillId="16" borderId="0" xfId="0" applyFont="1" applyFill="1" applyAlignment="1">
      <alignment/>
    </xf>
    <xf numFmtId="167" fontId="2" fillId="16" borderId="0" xfId="0" applyNumberFormat="1" applyFont="1" applyFill="1" applyBorder="1" applyAlignment="1">
      <alignment/>
    </xf>
    <xf numFmtId="172" fontId="8" fillId="16" borderId="0" xfId="0" applyNumberFormat="1" applyFont="1" applyFill="1" applyBorder="1" applyAlignment="1">
      <alignment horizontal="center"/>
    </xf>
    <xf numFmtId="164" fontId="2" fillId="16" borderId="0" xfId="0" applyFont="1" applyFill="1" applyAlignment="1">
      <alignment horizontal="center"/>
    </xf>
    <xf numFmtId="167" fontId="2" fillId="16" borderId="0" xfId="0" applyNumberFormat="1" applyFont="1" applyFill="1" applyAlignment="1">
      <alignment/>
    </xf>
    <xf numFmtId="173" fontId="2" fillId="16" borderId="0" xfId="0" applyNumberFormat="1" applyFont="1" applyFill="1" applyAlignment="1">
      <alignment horizontal="center"/>
    </xf>
    <xf numFmtId="174" fontId="2" fillId="16" borderId="0" xfId="0" applyNumberFormat="1" applyFont="1" applyFill="1" applyAlignment="1">
      <alignment horizontal="center"/>
    </xf>
    <xf numFmtId="172" fontId="27" fillId="0" borderId="0" xfId="0" applyNumberFormat="1" applyFont="1" applyAlignment="1">
      <alignment horizontal="center"/>
    </xf>
    <xf numFmtId="167" fontId="0" fillId="0" borderId="0" xfId="0" applyNumberFormat="1" applyFont="1" applyBorder="1" applyAlignment="1">
      <alignment horizontal="right"/>
    </xf>
    <xf numFmtId="175" fontId="0" fillId="0" borderId="0" xfId="0" applyNumberFormat="1" applyFont="1" applyAlignment="1">
      <alignment horizontal="center"/>
    </xf>
    <xf numFmtId="172" fontId="36" fillId="0" borderId="0" xfId="0" applyNumberFormat="1" applyFont="1" applyAlignment="1">
      <alignment horizontal="center"/>
    </xf>
    <xf numFmtId="164" fontId="36" fillId="0" borderId="0" xfId="0" applyFont="1" applyAlignment="1">
      <alignment/>
    </xf>
    <xf numFmtId="164" fontId="37" fillId="0" borderId="0" xfId="0" applyFont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13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167" fontId="33" fillId="0" borderId="0" xfId="0" applyNumberFormat="1" applyFont="1" applyBorder="1" applyAlignment="1">
      <alignment horizontal="right"/>
    </xf>
    <xf numFmtId="164" fontId="0" fillId="0" borderId="0" xfId="0" applyFont="1" applyFill="1" applyBorder="1" applyAlignment="1">
      <alignment horizontal="right"/>
    </xf>
    <xf numFmtId="168" fontId="0" fillId="0" borderId="0" xfId="0" applyNumberFormat="1" applyAlignment="1">
      <alignment horizontal="left"/>
    </xf>
    <xf numFmtId="164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left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left"/>
    </xf>
    <xf numFmtId="178" fontId="0" fillId="0" borderId="0" xfId="0" applyNumberFormat="1" applyAlignment="1">
      <alignment/>
    </xf>
    <xf numFmtId="178" fontId="0" fillId="0" borderId="0" xfId="0" applyNumberFormat="1" applyAlignment="1">
      <alignment horizontal="center"/>
    </xf>
    <xf numFmtId="178" fontId="0" fillId="0" borderId="0" xfId="0" applyNumberFormat="1" applyAlignment="1">
      <alignment horizontal="left"/>
    </xf>
    <xf numFmtId="179" fontId="0" fillId="0" borderId="0" xfId="0" applyNumberFormat="1" applyAlignment="1">
      <alignment horizontal="center"/>
    </xf>
    <xf numFmtId="164" fontId="0" fillId="0" borderId="0" xfId="0" applyFont="1" applyBorder="1" applyAlignment="1">
      <alignment horizontal="right"/>
    </xf>
    <xf numFmtId="180" fontId="27" fillId="0" borderId="0" xfId="0" applyNumberFormat="1" applyFont="1" applyAlignment="1">
      <alignment horizontal="center"/>
    </xf>
    <xf numFmtId="167" fontId="27" fillId="0" borderId="0" xfId="0" applyNumberFormat="1" applyFont="1" applyAlignment="1">
      <alignment horizontal="center"/>
    </xf>
    <xf numFmtId="181" fontId="27" fillId="0" borderId="0" xfId="0" applyNumberFormat="1" applyFont="1" applyAlignment="1">
      <alignment horizontal="center"/>
    </xf>
    <xf numFmtId="182" fontId="27" fillId="0" borderId="0" xfId="0" applyNumberFormat="1" applyFont="1" applyAlignment="1">
      <alignment horizontal="center"/>
    </xf>
    <xf numFmtId="164" fontId="27" fillId="0" borderId="0" xfId="0" applyFont="1" applyAlignment="1">
      <alignment/>
    </xf>
    <xf numFmtId="183" fontId="27" fillId="0" borderId="0" xfId="0" applyNumberFormat="1" applyFont="1" applyAlignment="1">
      <alignment horizontal="center"/>
    </xf>
    <xf numFmtId="180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83" fontId="0" fillId="0" borderId="0" xfId="0" applyNumberFormat="1" applyAlignment="1">
      <alignment/>
    </xf>
    <xf numFmtId="174" fontId="27" fillId="0" borderId="0" xfId="0" applyNumberFormat="1" applyFont="1" applyAlignment="1">
      <alignment horizontal="center"/>
    </xf>
    <xf numFmtId="184" fontId="27" fillId="0" borderId="0" xfId="0" applyNumberFormat="1" applyFont="1" applyAlignment="1">
      <alignment horizontal="center"/>
    </xf>
    <xf numFmtId="185" fontId="27" fillId="0" borderId="0" xfId="0" applyNumberFormat="1" applyFont="1" applyAlignment="1">
      <alignment horizontal="center"/>
    </xf>
    <xf numFmtId="164" fontId="27" fillId="0" borderId="0" xfId="0" applyFont="1" applyAlignment="1">
      <alignment/>
    </xf>
    <xf numFmtId="164" fontId="37" fillId="0" borderId="0" xfId="0" applyFont="1" applyAlignment="1">
      <alignment horizontal="center" vertical="center"/>
    </xf>
    <xf numFmtId="180" fontId="0" fillId="0" borderId="0" xfId="0" applyNumberFormat="1" applyAlignment="1">
      <alignment/>
    </xf>
    <xf numFmtId="174" fontId="0" fillId="0" borderId="0" xfId="0" applyNumberFormat="1" applyAlignment="1">
      <alignment horizontal="center"/>
    </xf>
    <xf numFmtId="184" fontId="0" fillId="0" borderId="0" xfId="0" applyNumberFormat="1" applyFont="1" applyAlignment="1">
      <alignment horizontal="center"/>
    </xf>
    <xf numFmtId="164" fontId="0" fillId="0" borderId="0" xfId="0" applyFont="1" applyBorder="1" applyAlignment="1">
      <alignment horizontal="center" vertical="center"/>
    </xf>
    <xf numFmtId="183" fontId="0" fillId="0" borderId="0" xfId="0" applyNumberFormat="1" applyFont="1" applyAlignment="1">
      <alignment horizontal="center"/>
    </xf>
    <xf numFmtId="164" fontId="38" fillId="0" borderId="0" xfId="0" applyFont="1" applyAlignment="1">
      <alignment horizontal="center"/>
    </xf>
    <xf numFmtId="183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170" fontId="27" fillId="0" borderId="0" xfId="0" applyNumberFormat="1" applyFont="1" applyAlignment="1">
      <alignment horizontal="center"/>
    </xf>
    <xf numFmtId="186" fontId="27" fillId="0" borderId="0" xfId="0" applyNumberFormat="1" applyFont="1" applyAlignment="1">
      <alignment horizontal="center"/>
    </xf>
    <xf numFmtId="166" fontId="39" fillId="0" borderId="0" xfId="0" applyNumberFormat="1" applyFont="1" applyAlignment="1">
      <alignment horizontal="center"/>
    </xf>
    <xf numFmtId="164" fontId="39" fillId="0" borderId="0" xfId="0" applyFont="1" applyAlignment="1">
      <alignment horizontal="center" vertical="center"/>
    </xf>
    <xf numFmtId="180" fontId="39" fillId="0" borderId="0" xfId="0" applyNumberFormat="1" applyFont="1" applyAlignment="1">
      <alignment horizontal="center" vertical="center"/>
    </xf>
    <xf numFmtId="164" fontId="39" fillId="0" borderId="0" xfId="0" applyFont="1" applyAlignment="1">
      <alignment horizontal="center"/>
    </xf>
    <xf numFmtId="178" fontId="0" fillId="0" borderId="0" xfId="0" applyNumberFormat="1" applyAlignment="1">
      <alignment/>
    </xf>
    <xf numFmtId="170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 wrapText="1"/>
    </xf>
    <xf numFmtId="187" fontId="0" fillId="0" borderId="0" xfId="0" applyNumberFormat="1" applyFont="1" applyAlignment="1">
      <alignment horizontal="center" wrapText="1"/>
    </xf>
    <xf numFmtId="175" fontId="0" fillId="0" borderId="0" xfId="0" applyNumberFormat="1" applyFont="1" applyAlignment="1">
      <alignment horizontal="center" wrapText="1"/>
    </xf>
    <xf numFmtId="188" fontId="27" fillId="0" borderId="0" xfId="0" applyNumberFormat="1" applyFont="1" applyAlignment="1">
      <alignment horizontal="center"/>
    </xf>
    <xf numFmtId="164" fontId="27" fillId="0" borderId="0" xfId="0" applyFont="1" applyAlignment="1">
      <alignment horizontal="left"/>
    </xf>
    <xf numFmtId="164" fontId="40" fillId="0" borderId="0" xfId="0" applyFont="1" applyAlignment="1">
      <alignment/>
    </xf>
    <xf numFmtId="164" fontId="41" fillId="0" borderId="0" xfId="0" applyFont="1" applyAlignment="1">
      <alignment horizontal="center"/>
    </xf>
    <xf numFmtId="174" fontId="13" fillId="0" borderId="0" xfId="0" applyNumberFormat="1" applyFont="1" applyAlignment="1">
      <alignment horizontal="center"/>
    </xf>
    <xf numFmtId="170" fontId="42" fillId="0" borderId="0" xfId="0" applyNumberFormat="1" applyFont="1" applyAlignment="1">
      <alignment horizontal="center"/>
    </xf>
    <xf numFmtId="175" fontId="0" fillId="0" borderId="0" xfId="0" applyNumberFormat="1" applyAlignment="1">
      <alignment horizontal="center"/>
    </xf>
    <xf numFmtId="164" fontId="43" fillId="0" borderId="0" xfId="0" applyFont="1" applyAlignment="1">
      <alignment horizontal="center"/>
    </xf>
    <xf numFmtId="180" fontId="27" fillId="0" borderId="0" xfId="0" applyNumberFormat="1" applyFont="1" applyAlignment="1">
      <alignment/>
    </xf>
    <xf numFmtId="189" fontId="27" fillId="0" borderId="0" xfId="0" applyNumberFormat="1" applyFont="1" applyAlignment="1">
      <alignment horizontal="center"/>
    </xf>
    <xf numFmtId="164" fontId="44" fillId="0" borderId="0" xfId="0" applyFont="1" applyAlignment="1">
      <alignment horizontal="center"/>
    </xf>
    <xf numFmtId="173" fontId="45" fillId="0" borderId="0" xfId="0" applyNumberFormat="1" applyFont="1" applyAlignment="1">
      <alignment horizontal="center"/>
    </xf>
    <xf numFmtId="164" fontId="27" fillId="29" borderId="10" xfId="0" applyFont="1" applyFill="1" applyBorder="1" applyAlignment="1">
      <alignment horizontal="left"/>
    </xf>
    <xf numFmtId="164" fontId="27" fillId="0" borderId="0" xfId="0" applyFont="1" applyAlignment="1">
      <alignment horizontal="center"/>
    </xf>
    <xf numFmtId="170" fontId="46" fillId="0" borderId="0" xfId="0" applyNumberFormat="1" applyFont="1" applyAlignment="1">
      <alignment horizontal="center"/>
    </xf>
    <xf numFmtId="188" fontId="0" fillId="0" borderId="0" xfId="0" applyNumberFormat="1" applyFont="1" applyAlignment="1">
      <alignment horizontal="center"/>
    </xf>
    <xf numFmtId="164" fontId="47" fillId="0" borderId="0" xfId="0" applyFont="1" applyAlignment="1">
      <alignment horizontal="center"/>
    </xf>
    <xf numFmtId="188" fontId="0" fillId="0" borderId="0" xfId="0" applyNumberFormat="1" applyAlignment="1">
      <alignment horizontal="center"/>
    </xf>
    <xf numFmtId="164" fontId="48" fillId="0" borderId="0" xfId="0" applyFont="1" applyAlignment="1">
      <alignment horizontal="center"/>
    </xf>
    <xf numFmtId="164" fontId="8" fillId="16" borderId="0" xfId="0" applyFont="1" applyFill="1" applyBorder="1" applyAlignment="1">
      <alignment horizontal="center"/>
    </xf>
    <xf numFmtId="180" fontId="0" fillId="0" borderId="0" xfId="0" applyNumberFormat="1" applyFont="1" applyAlignment="1">
      <alignment horizontal="center"/>
    </xf>
    <xf numFmtId="170" fontId="37" fillId="0" borderId="0" xfId="0" applyNumberFormat="1" applyFont="1" applyAlignment="1">
      <alignment horizontal="center"/>
    </xf>
    <xf numFmtId="170" fontId="27" fillId="0" borderId="0" xfId="0" applyNumberFormat="1" applyFont="1" applyFill="1" applyAlignment="1">
      <alignment horizontal="center" vertical="top"/>
    </xf>
    <xf numFmtId="190" fontId="27" fillId="0" borderId="0" xfId="0" applyNumberFormat="1" applyFont="1" applyAlignment="1">
      <alignment horizontal="center"/>
    </xf>
    <xf numFmtId="172" fontId="27" fillId="0" borderId="0" xfId="0" applyNumberFormat="1" applyFont="1" applyBorder="1" applyAlignment="1">
      <alignment horizontal="center"/>
    </xf>
    <xf numFmtId="172" fontId="27" fillId="0" borderId="0" xfId="0" applyNumberFormat="1" applyFont="1" applyBorder="1" applyAlignment="1">
      <alignment horizontal="left"/>
    </xf>
    <xf numFmtId="180" fontId="49" fillId="0" borderId="0" xfId="0" applyNumberFormat="1" applyFont="1" applyAlignment="1">
      <alignment horizontal="center"/>
    </xf>
    <xf numFmtId="190" fontId="0" fillId="0" borderId="0" xfId="0" applyNumberFormat="1" applyAlignment="1">
      <alignment horizontal="center"/>
    </xf>
    <xf numFmtId="164" fontId="50" fillId="0" borderId="0" xfId="0" applyFont="1" applyAlignment="1">
      <alignment/>
    </xf>
    <xf numFmtId="167" fontId="0" fillId="0" borderId="0" xfId="0" applyNumberFormat="1" applyBorder="1" applyAlignment="1">
      <alignment horizontal="center" vertical="center"/>
    </xf>
    <xf numFmtId="172" fontId="0" fillId="0" borderId="0" xfId="0" applyNumberFormat="1" applyBorder="1" applyAlignment="1">
      <alignment horizontal="center" vertical="center"/>
    </xf>
    <xf numFmtId="167" fontId="39" fillId="0" borderId="0" xfId="0" applyNumberFormat="1" applyFont="1" applyAlignment="1">
      <alignment horizontal="center" vertical="center"/>
    </xf>
    <xf numFmtId="188" fontId="0" fillId="0" borderId="0" xfId="0" applyNumberFormat="1" applyBorder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180" fontId="32" fillId="0" borderId="0" xfId="0" applyNumberFormat="1" applyFont="1" applyAlignment="1">
      <alignment horizontal="center"/>
    </xf>
    <xf numFmtId="167" fontId="32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 vertical="center"/>
    </xf>
    <xf numFmtId="191" fontId="0" fillId="0" borderId="0" xfId="0" applyNumberFormat="1" applyAlignment="1">
      <alignment horizontal="center"/>
    </xf>
    <xf numFmtId="170" fontId="0" fillId="0" borderId="0" xfId="0" applyNumberFormat="1" applyFont="1" applyBorder="1" applyAlignment="1">
      <alignment horizontal="center" vertical="center"/>
    </xf>
    <xf numFmtId="172" fontId="0" fillId="0" borderId="0" xfId="0" applyNumberFormat="1" applyFont="1" applyAlignment="1">
      <alignment horizontal="center" vertical="center"/>
    </xf>
    <xf numFmtId="164" fontId="0" fillId="29" borderId="10" xfId="0" applyFont="1" applyFill="1" applyBorder="1" applyAlignment="1">
      <alignment horizontal="center" vertical="center"/>
    </xf>
    <xf numFmtId="170" fontId="32" fillId="0" borderId="0" xfId="0" applyNumberFormat="1" applyFont="1" applyBorder="1" applyAlignment="1">
      <alignment horizontal="center" vertical="center"/>
    </xf>
    <xf numFmtId="172" fontId="32" fillId="0" borderId="0" xfId="0" applyNumberFormat="1" applyFont="1" applyAlignment="1">
      <alignment horizontal="center" vertical="center"/>
    </xf>
    <xf numFmtId="170" fontId="32" fillId="0" borderId="0" xfId="0" applyNumberFormat="1" applyFont="1" applyAlignment="1">
      <alignment horizontal="center"/>
    </xf>
    <xf numFmtId="172" fontId="0" fillId="0" borderId="0" xfId="0" applyNumberFormat="1" applyFont="1" applyBorder="1" applyAlignment="1">
      <alignment horizontal="center" vertical="center"/>
    </xf>
    <xf numFmtId="192" fontId="0" fillId="0" borderId="0" xfId="0" applyNumberFormat="1" applyFill="1" applyAlignment="1">
      <alignment horizontal="center"/>
    </xf>
    <xf numFmtId="180" fontId="13" fillId="0" borderId="0" xfId="0" applyNumberFormat="1" applyFont="1" applyAlignment="1">
      <alignment horizontal="center"/>
    </xf>
    <xf numFmtId="170" fontId="13" fillId="0" borderId="0" xfId="0" applyNumberFormat="1" applyFont="1" applyAlignment="1">
      <alignment horizontal="center"/>
    </xf>
    <xf numFmtId="188" fontId="51" fillId="0" borderId="0" xfId="0" applyNumberFormat="1" applyFont="1" applyAlignment="1">
      <alignment horizontal="center"/>
    </xf>
    <xf numFmtId="172" fontId="51" fillId="0" borderId="0" xfId="0" applyNumberFormat="1" applyFont="1" applyAlignment="1">
      <alignment horizontal="center"/>
    </xf>
    <xf numFmtId="164" fontId="13" fillId="0" borderId="0" xfId="0" applyFont="1" applyAlignment="1">
      <alignment horizontal="center"/>
    </xf>
    <xf numFmtId="180" fontId="52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180" fontId="37" fillId="0" borderId="0" xfId="0" applyNumberFormat="1" applyFont="1" applyAlignment="1">
      <alignment horizontal="center"/>
    </xf>
    <xf numFmtId="172" fontId="32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left"/>
    </xf>
    <xf numFmtId="170" fontId="51" fillId="0" borderId="0" xfId="0" applyNumberFormat="1" applyFont="1" applyAlignment="1">
      <alignment horizontal="center"/>
    </xf>
    <xf numFmtId="167" fontId="37" fillId="0" borderId="0" xfId="0" applyNumberFormat="1" applyFont="1" applyAlignment="1">
      <alignment horizontal="center"/>
    </xf>
    <xf numFmtId="183" fontId="37" fillId="0" borderId="0" xfId="0" applyNumberFormat="1" applyFont="1" applyAlignment="1">
      <alignment horizontal="center"/>
    </xf>
    <xf numFmtId="164" fontId="30" fillId="0" borderId="0" xfId="0" applyFont="1" applyAlignment="1">
      <alignment/>
    </xf>
    <xf numFmtId="180" fontId="53" fillId="0" borderId="0" xfId="0" applyNumberFormat="1" applyFont="1" applyAlignment="1">
      <alignment horizontal="center"/>
    </xf>
    <xf numFmtId="167" fontId="33" fillId="0" borderId="0" xfId="0" applyNumberFormat="1" applyFont="1" applyAlignment="1">
      <alignment horizontal="center"/>
    </xf>
    <xf numFmtId="170" fontId="33" fillId="0" borderId="0" xfId="0" applyNumberFormat="1" applyFont="1" applyAlignment="1">
      <alignment horizontal="center"/>
    </xf>
    <xf numFmtId="172" fontId="33" fillId="0" borderId="0" xfId="0" applyNumberFormat="1" applyFont="1" applyAlignment="1">
      <alignment horizontal="center"/>
    </xf>
    <xf numFmtId="170" fontId="54" fillId="0" borderId="0" xfId="0" applyNumberFormat="1" applyFont="1" applyAlignment="1">
      <alignment horizontal="center"/>
    </xf>
    <xf numFmtId="188" fontId="33" fillId="0" borderId="0" xfId="0" applyNumberFormat="1" applyFont="1" applyAlignment="1">
      <alignment horizontal="center"/>
    </xf>
    <xf numFmtId="183" fontId="33" fillId="0" borderId="0" xfId="0" applyNumberFormat="1" applyFont="1" applyAlignment="1">
      <alignment horizontal="center"/>
    </xf>
    <xf numFmtId="188" fontId="32" fillId="0" borderId="0" xfId="0" applyNumberFormat="1" applyFont="1" applyBorder="1" applyAlignment="1">
      <alignment horizontal="center"/>
    </xf>
    <xf numFmtId="164" fontId="0" fillId="0" borderId="0" xfId="0" applyFont="1" applyAlignment="1">
      <alignment wrapText="1"/>
    </xf>
    <xf numFmtId="180" fontId="30" fillId="0" borderId="0" xfId="0" applyNumberFormat="1" applyFont="1" applyAlignment="1">
      <alignment horizontal="center"/>
    </xf>
    <xf numFmtId="167" fontId="30" fillId="0" borderId="0" xfId="0" applyNumberFormat="1" applyFont="1" applyAlignment="1">
      <alignment horizontal="center"/>
    </xf>
    <xf numFmtId="173" fontId="0" fillId="0" borderId="0" xfId="0" applyNumberFormat="1" applyFont="1" applyAlignment="1">
      <alignment horizontal="center"/>
    </xf>
    <xf numFmtId="170" fontId="30" fillId="0" borderId="0" xfId="0" applyNumberFormat="1" applyFont="1" applyAlignment="1">
      <alignment horizontal="center"/>
    </xf>
    <xf numFmtId="188" fontId="27" fillId="0" borderId="0" xfId="0" applyNumberFormat="1" applyFont="1" applyBorder="1" applyAlignment="1">
      <alignment horizontal="center"/>
    </xf>
    <xf numFmtId="164" fontId="27" fillId="0" borderId="0" xfId="0" applyFont="1" applyAlignment="1">
      <alignment wrapText="1"/>
    </xf>
    <xf numFmtId="188" fontId="37" fillId="0" borderId="0" xfId="0" applyNumberFormat="1" applyFont="1" applyAlignment="1">
      <alignment horizontal="center"/>
    </xf>
    <xf numFmtId="164" fontId="55" fillId="0" borderId="0" xfId="0" applyFont="1" applyAlignment="1">
      <alignment horizontal="center" wrapText="1"/>
    </xf>
    <xf numFmtId="164" fontId="37" fillId="0" borderId="0" xfId="0" applyFont="1" applyAlignment="1">
      <alignment/>
    </xf>
    <xf numFmtId="164" fontId="32" fillId="0" borderId="0" xfId="0" applyFont="1" applyAlignment="1">
      <alignment horizontal="left"/>
    </xf>
    <xf numFmtId="188" fontId="13" fillId="0" borderId="0" xfId="0" applyNumberFormat="1" applyFont="1" applyAlignment="1">
      <alignment horizontal="center"/>
    </xf>
    <xf numFmtId="172" fontId="56" fillId="0" borderId="0" xfId="0" applyNumberFormat="1" applyFont="1" applyAlignment="1">
      <alignment horizontal="center"/>
    </xf>
    <xf numFmtId="164" fontId="56" fillId="0" borderId="0" xfId="0" applyFont="1" applyAlignment="1">
      <alignment/>
    </xf>
    <xf numFmtId="193" fontId="0" fillId="0" borderId="0" xfId="0" applyNumberFormat="1" applyFont="1" applyAlignment="1">
      <alignment horizontal="center"/>
    </xf>
    <xf numFmtId="164" fontId="32" fillId="0" borderId="0" xfId="0" applyFont="1" applyAlignment="1">
      <alignment/>
    </xf>
    <xf numFmtId="193" fontId="0" fillId="0" borderId="0" xfId="0" applyNumberFormat="1" applyAlignment="1">
      <alignment horizontal="center"/>
    </xf>
    <xf numFmtId="164" fontId="57" fillId="0" borderId="0" xfId="0" applyFont="1" applyAlignment="1">
      <alignment/>
    </xf>
    <xf numFmtId="164" fontId="42" fillId="0" borderId="0" xfId="0" applyFont="1" applyAlignment="1">
      <alignment horizontal="center"/>
    </xf>
    <xf numFmtId="164" fontId="58" fillId="0" borderId="0" xfId="0" applyFont="1" applyAlignment="1">
      <alignment/>
    </xf>
    <xf numFmtId="167" fontId="13" fillId="0" borderId="0" xfId="0" applyNumberFormat="1" applyFont="1" applyAlignment="1">
      <alignment horizontal="center"/>
    </xf>
    <xf numFmtId="172" fontId="13" fillId="0" borderId="0" xfId="0" applyNumberFormat="1" applyFont="1" applyAlignment="1">
      <alignment horizontal="center"/>
    </xf>
    <xf numFmtId="164" fontId="32" fillId="0" borderId="0" xfId="0" applyFont="1" applyAlignment="1">
      <alignment horizontal="center" vertical="top"/>
    </xf>
    <xf numFmtId="164" fontId="41" fillId="0" borderId="0" xfId="0" applyFont="1" applyAlignment="1">
      <alignment/>
    </xf>
    <xf numFmtId="180" fontId="59" fillId="0" borderId="0" xfId="0" applyNumberFormat="1" applyFont="1" applyAlignment="1">
      <alignment horizontal="center"/>
    </xf>
    <xf numFmtId="170" fontId="59" fillId="0" borderId="0" xfId="0" applyNumberFormat="1" applyFont="1" applyAlignment="1">
      <alignment horizontal="center"/>
    </xf>
    <xf numFmtId="172" fontId="59" fillId="0" borderId="0" xfId="0" applyNumberFormat="1" applyFont="1" applyAlignment="1">
      <alignment horizontal="center"/>
    </xf>
    <xf numFmtId="192" fontId="32" fillId="0" borderId="0" xfId="0" applyNumberFormat="1" applyFont="1" applyAlignment="1">
      <alignment horizontal="left"/>
    </xf>
    <xf numFmtId="180" fontId="60" fillId="0" borderId="0" xfId="0" applyNumberFormat="1" applyFont="1" applyAlignment="1">
      <alignment horizontal="center"/>
    </xf>
    <xf numFmtId="167" fontId="60" fillId="0" borderId="0" xfId="0" applyNumberFormat="1" applyFont="1" applyAlignment="1">
      <alignment horizontal="center"/>
    </xf>
    <xf numFmtId="172" fontId="60" fillId="0" borderId="0" xfId="0" applyNumberFormat="1" applyFont="1" applyAlignment="1">
      <alignment horizontal="center"/>
    </xf>
    <xf numFmtId="170" fontId="60" fillId="0" borderId="0" xfId="0" applyNumberFormat="1" applyFont="1" applyAlignment="1">
      <alignment horizontal="center"/>
    </xf>
    <xf numFmtId="164" fontId="27" fillId="0" borderId="0" xfId="0" applyFont="1" applyFill="1" applyAlignment="1">
      <alignment/>
    </xf>
    <xf numFmtId="183" fontId="60" fillId="0" borderId="0" xfId="0" applyNumberFormat="1" applyFont="1" applyAlignment="1">
      <alignment horizontal="center"/>
    </xf>
    <xf numFmtId="194" fontId="0" fillId="0" borderId="0" xfId="0" applyNumberFormat="1" applyAlignment="1">
      <alignment horizontal="center"/>
    </xf>
    <xf numFmtId="195" fontId="30" fillId="0" borderId="0" xfId="0" applyNumberFormat="1" applyFont="1" applyAlignment="1">
      <alignment horizontal="center"/>
    </xf>
    <xf numFmtId="194" fontId="30" fillId="0" borderId="0" xfId="0" applyNumberFormat="1" applyFont="1" applyAlignment="1">
      <alignment horizontal="center"/>
    </xf>
    <xf numFmtId="172" fontId="30" fillId="0" borderId="0" xfId="0" applyNumberFormat="1" applyFont="1" applyAlignment="1">
      <alignment horizontal="center"/>
    </xf>
    <xf numFmtId="164" fontId="27" fillId="0" borderId="0" xfId="0" applyNumberFormat="1" applyFont="1" applyAlignment="1">
      <alignment horizontal="left"/>
    </xf>
    <xf numFmtId="183" fontId="30" fillId="0" borderId="0" xfId="0" applyNumberFormat="1" applyFont="1" applyAlignment="1">
      <alignment horizontal="center"/>
    </xf>
    <xf numFmtId="194" fontId="0" fillId="0" borderId="0" xfId="0" applyNumberFormat="1" applyFont="1" applyAlignment="1">
      <alignment horizontal="center"/>
    </xf>
    <xf numFmtId="164" fontId="61" fillId="0" borderId="0" xfId="0" applyFont="1" applyAlignment="1">
      <alignment/>
    </xf>
    <xf numFmtId="183" fontId="62" fillId="0" borderId="0" xfId="0" applyNumberFormat="1" applyFont="1" applyAlignment="1">
      <alignment horizontal="center"/>
    </xf>
    <xf numFmtId="164" fontId="62" fillId="0" borderId="0" xfId="0" applyFont="1" applyAlignment="1">
      <alignment horizontal="center"/>
    </xf>
    <xf numFmtId="192" fontId="0" fillId="0" borderId="0" xfId="0" applyNumberFormat="1" applyFont="1" applyAlignment="1">
      <alignment horizontal="left"/>
    </xf>
    <xf numFmtId="194" fontId="60" fillId="0" borderId="0" xfId="0" applyNumberFormat="1" applyFont="1" applyAlignment="1">
      <alignment horizontal="center"/>
    </xf>
    <xf numFmtId="194" fontId="27" fillId="0" borderId="0" xfId="0" applyNumberFormat="1" applyFont="1" applyAlignment="1">
      <alignment horizontal="center"/>
    </xf>
    <xf numFmtId="164" fontId="63" fillId="0" borderId="0" xfId="0" applyFont="1" applyAlignment="1">
      <alignment/>
    </xf>
    <xf numFmtId="164" fontId="60" fillId="0" borderId="0" xfId="0" applyFont="1" applyAlignment="1">
      <alignment/>
    </xf>
    <xf numFmtId="192" fontId="41" fillId="0" borderId="0" xfId="0" applyNumberFormat="1" applyFont="1" applyAlignment="1">
      <alignment horizontal="left"/>
    </xf>
    <xf numFmtId="170" fontId="64" fillId="0" borderId="0" xfId="0" applyNumberFormat="1" applyFont="1" applyAlignment="1">
      <alignment horizontal="center"/>
    </xf>
  </cellXfs>
  <cellStyles count="6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Accent 1 1" xfId="38"/>
    <cellStyle name="Accent 2 1" xfId="39"/>
    <cellStyle name="Accent 3 1" xfId="40"/>
    <cellStyle name="Accent 4" xfId="41"/>
    <cellStyle name="Bad 1" xfId="42"/>
    <cellStyle name="Calcolo" xfId="43"/>
    <cellStyle name="Cella collegata" xfId="44"/>
    <cellStyle name="Cella da controllare" xfId="45"/>
    <cellStyle name="Colore 1" xfId="46"/>
    <cellStyle name="Colore 2" xfId="47"/>
    <cellStyle name="Colore 3" xfId="48"/>
    <cellStyle name="Colore 4" xfId="49"/>
    <cellStyle name="Colore 5" xfId="50"/>
    <cellStyle name="Colore 6" xfId="51"/>
    <cellStyle name="Error 1" xfId="52"/>
    <cellStyle name="Footnote 1" xfId="53"/>
    <cellStyle name="Good 1" xfId="54"/>
    <cellStyle name="Heading 1 1" xfId="55"/>
    <cellStyle name="Heading 2 1" xfId="56"/>
    <cellStyle name="Heading 3" xfId="57"/>
    <cellStyle name="Hyperlink 1" xfId="58"/>
    <cellStyle name="Input" xfId="59"/>
    <cellStyle name="Neutral 1" xfId="60"/>
    <cellStyle name="Neutrale" xfId="61"/>
    <cellStyle name="Nota 1" xfId="62"/>
    <cellStyle name="Note 1" xfId="63"/>
    <cellStyle name="Output" xfId="64"/>
    <cellStyle name="Status 1" xfId="65"/>
    <cellStyle name="Testo avviso" xfId="66"/>
    <cellStyle name="Testo descrittivo" xfId="67"/>
    <cellStyle name="Text 1" xfId="68"/>
    <cellStyle name="Titolo 1 1" xfId="69"/>
    <cellStyle name="Titolo 2 1" xfId="70"/>
    <cellStyle name="Titolo 3" xfId="71"/>
    <cellStyle name="Titolo 4" xfId="72"/>
    <cellStyle name="Titolo 5" xfId="73"/>
    <cellStyle name="Totale" xfId="74"/>
    <cellStyle name="Valore non valido" xfId="75"/>
    <cellStyle name="Valore valido" xfId="76"/>
    <cellStyle name="Warning 1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CCCC"/>
      <rgbColor rgb="00FF3333"/>
      <rgbColor rgb="0000FFFF"/>
      <rgbColor rgb="00CC0000"/>
      <rgbColor rgb="00008000"/>
      <rgbColor rgb="00000080"/>
      <rgbColor rgb="00996600"/>
      <rgbColor rgb="00800080"/>
      <rgbColor rgb="00004586"/>
      <rgbColor rgb="00C0C0C0"/>
      <rgbColor rgb="00808080"/>
      <rgbColor rgb="00729FC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B3B3B3"/>
      <rgbColor rgb="0000FFFF"/>
      <rgbColor rgb="00800080"/>
      <rgbColor rgb="00800000"/>
      <rgbColor rgb="0000CC33"/>
      <rgbColor rgb="000000EE"/>
      <rgbColor rgb="0000CC00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2B2B2"/>
      <rgbColor rgb="00FFCC00"/>
      <rgbColor rgb="00FF9900"/>
      <rgbColor rgb="00FF6600"/>
      <rgbColor rgb="00999999"/>
      <rgbColor rgb="00969696"/>
      <rgbColor rgb="00003366"/>
      <rgbColor rgb="00339966"/>
      <rgbColor rgb="00006600"/>
      <rgbColor rgb="00333300"/>
      <rgbColor rgb="00993300"/>
      <rgbColor rgb="00DC143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(Foglio1!$H$241:$H$241,Foglio1!$H$245:$H$251,Foglio1!$H$252:$H$256)</c:f>
              <c:strCache/>
            </c:strRef>
          </c:xVal>
          <c:yVal>
            <c:numRef>
              <c:f>(Foglio1!$O$241:$O$241,Foglio1!$O$245:$O$251,Foglio1!$O$252:$O$256)</c:f>
              <c:numCache/>
            </c:numRef>
          </c:yVal>
          <c:smooth val="0"/>
        </c:ser>
        <c:axId val="31317584"/>
        <c:axId val="13422801"/>
      </c:scatterChart>
      <c:valAx>
        <c:axId val="31317584"/>
        <c:scaling>
          <c:orientation val="minMax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dd/mm/yy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422801"/>
        <c:crossesAt val="0"/>
        <c:crossBetween val="midCat"/>
        <c:dispUnits/>
      </c:valAx>
      <c:valAx>
        <c:axId val="1342280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317584"/>
        <c:crossesAt val="0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771525</xdr:colOff>
      <xdr:row>286</xdr:row>
      <xdr:rowOff>123825</xdr:rowOff>
    </xdr:from>
    <xdr:to>
      <xdr:col>6</xdr:col>
      <xdr:colOff>57150</xdr:colOff>
      <xdr:row>299</xdr:row>
      <xdr:rowOff>180975</xdr:rowOff>
    </xdr:to>
    <xdr:graphicFrame>
      <xdr:nvGraphicFramePr>
        <xdr:cNvPr id="1" name="Chart 7"/>
        <xdr:cNvGraphicFramePr/>
      </xdr:nvGraphicFramePr>
      <xdr:xfrm>
        <a:off x="3771900" y="56959500"/>
        <a:ext cx="595312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73.it/files/Affidabilit&#224;%20Debt%2020191015.jpg" TargetMode="External" /><Relationship Id="rId2" Type="http://schemas.openxmlformats.org/officeDocument/2006/relationships/hyperlink" Target="https://www.timeanddate.com/date/durationresult.html" TargetMode="External" /><Relationship Id="rId3" Type="http://schemas.openxmlformats.org/officeDocument/2006/relationships/hyperlink" Target="http://www.dt.mef.gov.it/modules/documenti_it/analisi_progammazione/documenti_programmatici/def_2018/NADEF_2018.pdf" TargetMode="External" /><Relationship Id="rId4" Type="http://schemas.openxmlformats.org/officeDocument/2006/relationships/hyperlink" Target="https://www.mazzieroresearch.com/wp-content/uploads/2019/10/PIL-20191031-Contorno.png" TargetMode="External" /><Relationship Id="rId5" Type="http://schemas.openxmlformats.org/officeDocument/2006/relationships/hyperlink" Target="https://www.mazzieroresearch.com/wp-content/uploads/2019/10/PIL-20191031-Contorno.png" TargetMode="External" /><Relationship Id="rId6" Type="http://schemas.openxmlformats.org/officeDocument/2006/relationships/hyperlink" Target="http://www.br73.it/files/Affidabilit&#224;%20Debt%2020191015.jpg" TargetMode="External" /><Relationship Id="rId7" Type="http://schemas.openxmlformats.org/officeDocument/2006/relationships/hyperlink" Target="https://www.mazzieroresearch.com/wp-content/uploads/2019/10/PIL-20191031-Contorno.png" TargetMode="External" /><Relationship Id="rId8" Type="http://schemas.openxmlformats.org/officeDocument/2006/relationships/hyperlink" Target="http://www.dt.mef.gov.it/modules/documenti_it/analisi_progammazione/documenti_programmatici/nadef_2020/NADEF_2020_Pub.pdf" TargetMode="External" /><Relationship Id="rId9" Type="http://schemas.openxmlformats.org/officeDocument/2006/relationships/hyperlink" Target="http://www.francomostacci.it/?page_id=873" TargetMode="External" /><Relationship Id="rId10" Type="http://schemas.openxmlformats.org/officeDocument/2006/relationships/hyperlink" Target="http://www.francomostacci.it/?page_id=873" TargetMode="External" /><Relationship Id="rId11" Type="http://schemas.openxmlformats.org/officeDocument/2006/relationships/hyperlink" Target="http://www.francomostacci.it/?page_id=873" TargetMode="External" /><Relationship Id="rId12" Type="http://schemas.openxmlformats.org/officeDocument/2006/relationships/hyperlink" Target="http://www.francomostacci.it/?page_id=873" TargetMode="External" /><Relationship Id="rId13" Type="http://schemas.openxmlformats.org/officeDocument/2006/relationships/hyperlink" Target="http://www.francomostacci.it/?page_id=873" TargetMode="External" /><Relationship Id="rId14" Type="http://schemas.openxmlformats.org/officeDocument/2006/relationships/hyperlink" Target="http://www.francomostacci.it/?page_id=873" TargetMode="External" /><Relationship Id="rId15" Type="http://schemas.openxmlformats.org/officeDocument/2006/relationships/hyperlink" Target="http://www.francomostacci.it/?page_id=873" TargetMode="External" /><Relationship Id="rId16" Type="http://schemas.openxmlformats.org/officeDocument/2006/relationships/hyperlink" Target="http://www.francomostacci.it/?page_id=873" TargetMode="External" /><Relationship Id="rId17" Type="http://schemas.openxmlformats.org/officeDocument/2006/relationships/hyperlink" Target="http://www.francomostacci.it/?page_id=873" TargetMode="External" /><Relationship Id="rId18" Type="http://schemas.openxmlformats.org/officeDocument/2006/relationships/hyperlink" Target="http://www.francomostacci.it/?page_id=873" TargetMode="External" /><Relationship Id="rId19" Type="http://schemas.openxmlformats.org/officeDocument/2006/relationships/hyperlink" Target="http://www.francomostacci.it/?page_id=873" TargetMode="External" /><Relationship Id="rId20" Type="http://schemas.openxmlformats.org/officeDocument/2006/relationships/hyperlink" Target="http://www.dt.mef.gov.it/modules/documenti_it/analisi_progammazione/documenti_programmatici/nadef_2020/NADEF_2020_Pub.pdf" TargetMode="External" /><Relationship Id="rId21" Type="http://schemas.openxmlformats.org/officeDocument/2006/relationships/hyperlink" Target="http://www.dt.mef.gov.it/modules/documenti_it/analisi_progammazione/documenti_programmatici/nadef_2020/NADEF_2020_Pub.pdf" TargetMode="External" /><Relationship Id="rId22" Type="http://schemas.openxmlformats.org/officeDocument/2006/relationships/hyperlink" Target="http://www.dt.mef.gov.it/modules/documenti_it/analisi_progammazione/documenti_programmatici/nadef_2020/NADEF_2020_Pub.pdf" TargetMode="External" /><Relationship Id="rId23" Type="http://schemas.openxmlformats.org/officeDocument/2006/relationships/hyperlink" Target="http://www.francomostacci.it/wp-content/uploads/2015/01/2021T2_contiPAa.png" TargetMode="External" /><Relationship Id="rId24" Type="http://schemas.openxmlformats.org/officeDocument/2006/relationships/hyperlink" Target="http://www.francomostacci.it/wp-content/uploads/2015/01/2021T2_contiPAa.png" TargetMode="External" /><Relationship Id="rId25" Type="http://schemas.openxmlformats.org/officeDocument/2006/relationships/hyperlink" Target="http://www.francomostacci.it/wp-content/uploads/2015/01/2021T2_contiPAa.png" TargetMode="External" /><Relationship Id="rId26" Type="http://schemas.openxmlformats.org/officeDocument/2006/relationships/hyperlink" Target="http://www.francomostacci.it/wp-content/uploads/2015/01/2021T2_contiPAa.png" TargetMode="External" /><Relationship Id="rId27" Type="http://schemas.openxmlformats.org/officeDocument/2006/relationships/hyperlink" Target="http://www.francomostacci.it/wp-content/uploads/2015/01/2021T3_contiPAa.png" TargetMode="External" /><Relationship Id="rId28" Type="http://schemas.openxmlformats.org/officeDocument/2006/relationships/hyperlink" Target="http://www.francomostacci.it/wp-content/uploads/2015/01/2021T3_contiPAa.png" TargetMode="External" /><Relationship Id="rId29" Type="http://schemas.openxmlformats.org/officeDocument/2006/relationships/hyperlink" Target="http://www.francomostacci.it/wp-content/uploads/2015/01/2023T3_ContiPAa.png" TargetMode="External" /><Relationship Id="rId30" Type="http://schemas.openxmlformats.org/officeDocument/2006/relationships/hyperlink" Target="http://www.francomostacci.it/wp-content/uploads/2015/03/2023_cn_tavsaldi.png" TargetMode="External" /><Relationship Id="rId31" Type="http://schemas.openxmlformats.org/officeDocument/2006/relationships/comments" Target="../comments1.xml" /><Relationship Id="rId32" Type="http://schemas.openxmlformats.org/officeDocument/2006/relationships/vmlDrawing" Target="../drawings/vmlDrawing1.vml" /><Relationship Id="rId3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8"/>
  <sheetViews>
    <sheetView tabSelected="1" defaultGridColor="0" zoomScale="90" zoomScaleNormal="90" colorId="54" workbookViewId="0" topLeftCell="K395">
      <selection activeCell="M407" sqref="M407"/>
    </sheetView>
  </sheetViews>
  <sheetFormatPr defaultColWidth="9.140625" defaultRowHeight="15.75" customHeight="1"/>
  <cols>
    <col min="1" max="1" width="8.00390625" style="1" customWidth="1"/>
    <col min="2" max="2" width="9.00390625" style="2" customWidth="1"/>
    <col min="3" max="3" width="14.00390625" style="0" customWidth="1"/>
    <col min="4" max="4" width="14.00390625" style="3" customWidth="1"/>
    <col min="5" max="5" width="29.00390625" style="2" customWidth="1"/>
    <col min="6" max="6" width="71.00390625" style="0" customWidth="1"/>
    <col min="7" max="7" width="29.57421875" style="0" customWidth="1"/>
    <col min="8" max="8" width="30.00390625" style="4" customWidth="1"/>
    <col min="9" max="10" width="23.00390625" style="4" customWidth="1"/>
    <col min="11" max="11" width="33.00390625" style="0" customWidth="1"/>
    <col min="12" max="13" width="21.00390625" style="0" customWidth="1"/>
    <col min="14" max="14" width="56.57421875" style="0" customWidth="1"/>
    <col min="15" max="15" width="21.00390625" style="0" customWidth="1"/>
    <col min="16" max="16" width="25.00390625" style="0" customWidth="1"/>
  </cols>
  <sheetData>
    <row r="1" spans="1:16" ht="12.75" customHeight="1">
      <c r="A1" s="5" t="s">
        <v>0</v>
      </c>
      <c r="B1" s="6" t="s">
        <v>1</v>
      </c>
      <c r="C1" s="7" t="s">
        <v>2</v>
      </c>
      <c r="D1" s="8"/>
      <c r="E1" s="9" t="s">
        <v>3</v>
      </c>
      <c r="F1" s="8"/>
      <c r="G1" s="8"/>
      <c r="H1" s="7" t="s">
        <v>4</v>
      </c>
      <c r="I1" s="7"/>
      <c r="J1" s="7"/>
      <c r="K1" s="8"/>
      <c r="L1" s="8"/>
      <c r="M1" s="8"/>
      <c r="N1" s="10"/>
      <c r="O1" s="8"/>
      <c r="P1" s="8"/>
    </row>
    <row r="2" spans="1:16" ht="12.75" customHeight="1">
      <c r="A2" s="5"/>
      <c r="B2" s="6" t="s">
        <v>5</v>
      </c>
      <c r="C2" s="7" t="s">
        <v>6</v>
      </c>
      <c r="D2" s="8"/>
      <c r="E2" s="11"/>
      <c r="F2" s="8"/>
      <c r="G2" s="8"/>
      <c r="H2" s="12" t="s">
        <v>7</v>
      </c>
      <c r="I2" s="12"/>
      <c r="J2" s="12"/>
      <c r="K2" s="8"/>
      <c r="L2" s="8"/>
      <c r="M2" s="8"/>
      <c r="N2" s="10"/>
      <c r="O2" s="8"/>
      <c r="P2" s="8"/>
    </row>
    <row r="3" ht="12.75" customHeight="1">
      <c r="A3" s="13"/>
    </row>
    <row r="4" spans="1:4" ht="12.75" customHeight="1">
      <c r="A4" s="13" t="s">
        <v>8</v>
      </c>
      <c r="D4" s="14">
        <v>39814</v>
      </c>
    </row>
    <row r="5" spans="1:8" ht="15.75" customHeight="1">
      <c r="A5" s="15" t="s">
        <v>9</v>
      </c>
      <c r="B5" s="2">
        <v>31</v>
      </c>
      <c r="C5" s="16">
        <f>B5</f>
        <v>31</v>
      </c>
      <c r="D5" s="14">
        <f aca="true" t="shared" si="0" ref="D5:D16">D$4+C5</f>
        <v>39845</v>
      </c>
      <c r="E5" s="2">
        <v>1700256000000</v>
      </c>
      <c r="H5" s="4">
        <f aca="true" t="shared" si="1" ref="H5:H16">86400*C5</f>
        <v>2678400</v>
      </c>
    </row>
    <row r="6" spans="1:8" ht="15.75" customHeight="1">
      <c r="A6" s="15" t="s">
        <v>10</v>
      </c>
      <c r="B6" s="2">
        <v>28</v>
      </c>
      <c r="C6" s="16">
        <f aca="true" t="shared" si="2" ref="C6:C16">C5+B6</f>
        <v>59</v>
      </c>
      <c r="D6" s="17">
        <f t="shared" si="0"/>
        <v>39873</v>
      </c>
      <c r="E6" s="2">
        <v>1708060000000</v>
      </c>
      <c r="H6" s="4">
        <f t="shared" si="1"/>
        <v>5097600</v>
      </c>
    </row>
    <row r="7" spans="1:8" ht="12.75" customHeight="1">
      <c r="A7" s="15" t="s">
        <v>11</v>
      </c>
      <c r="B7" s="2">
        <v>31</v>
      </c>
      <c r="C7" s="16">
        <f t="shared" si="2"/>
        <v>90</v>
      </c>
      <c r="D7" s="17">
        <f t="shared" si="0"/>
        <v>39904</v>
      </c>
      <c r="E7" s="2">
        <v>1741257000000</v>
      </c>
      <c r="H7" s="4">
        <f t="shared" si="1"/>
        <v>7776000</v>
      </c>
    </row>
    <row r="8" spans="1:8" ht="12.75" customHeight="1">
      <c r="A8" s="15" t="s">
        <v>12</v>
      </c>
      <c r="B8" s="2">
        <v>30</v>
      </c>
      <c r="C8" s="16">
        <f t="shared" si="2"/>
        <v>120</v>
      </c>
      <c r="D8" s="17">
        <f t="shared" si="0"/>
        <v>39934</v>
      </c>
      <c r="E8" s="2">
        <v>1750392000000</v>
      </c>
      <c r="H8" s="4">
        <f t="shared" si="1"/>
        <v>10368000</v>
      </c>
    </row>
    <row r="9" spans="1:8" ht="15.75" customHeight="1">
      <c r="A9" s="15" t="s">
        <v>13</v>
      </c>
      <c r="B9" s="2">
        <v>31</v>
      </c>
      <c r="C9" s="16">
        <f t="shared" si="2"/>
        <v>151</v>
      </c>
      <c r="D9" s="17">
        <f t="shared" si="0"/>
        <v>39965</v>
      </c>
      <c r="E9" s="2">
        <v>1752188000000</v>
      </c>
      <c r="H9" s="4">
        <f t="shared" si="1"/>
        <v>13046400</v>
      </c>
    </row>
    <row r="10" spans="1:8" ht="15.75" customHeight="1">
      <c r="A10" s="15" t="s">
        <v>14</v>
      </c>
      <c r="B10" s="2">
        <v>30</v>
      </c>
      <c r="C10" s="16">
        <f t="shared" si="2"/>
        <v>181</v>
      </c>
      <c r="D10" s="17">
        <f t="shared" si="0"/>
        <v>39995</v>
      </c>
      <c r="E10" s="2">
        <v>1751632000000</v>
      </c>
      <c r="H10" s="4">
        <f t="shared" si="1"/>
        <v>15638400</v>
      </c>
    </row>
    <row r="11" spans="1:8" ht="15.75" customHeight="1">
      <c r="A11" s="15" t="s">
        <v>15</v>
      </c>
      <c r="B11" s="2">
        <v>31</v>
      </c>
      <c r="C11" s="16">
        <f t="shared" si="2"/>
        <v>212</v>
      </c>
      <c r="D11" s="17">
        <f t="shared" si="0"/>
        <v>40026</v>
      </c>
      <c r="E11" s="2">
        <v>1753520000000</v>
      </c>
      <c r="H11" s="4">
        <f t="shared" si="1"/>
        <v>18316800</v>
      </c>
    </row>
    <row r="12" spans="1:8" ht="12.75" customHeight="1">
      <c r="A12" s="15" t="s">
        <v>16</v>
      </c>
      <c r="B12" s="2">
        <v>31</v>
      </c>
      <c r="C12" s="16">
        <f t="shared" si="2"/>
        <v>243</v>
      </c>
      <c r="D12" s="17">
        <f t="shared" si="0"/>
        <v>40057</v>
      </c>
      <c r="E12" s="2">
        <v>1757534000000</v>
      </c>
      <c r="H12" s="4">
        <f t="shared" si="1"/>
        <v>20995200</v>
      </c>
    </row>
    <row r="13" spans="1:8" ht="12.75" customHeight="1">
      <c r="A13" s="15" t="s">
        <v>17</v>
      </c>
      <c r="B13" s="2">
        <v>30</v>
      </c>
      <c r="C13" s="16">
        <f t="shared" si="2"/>
        <v>273</v>
      </c>
      <c r="D13" s="17">
        <f t="shared" si="0"/>
        <v>40087</v>
      </c>
      <c r="E13" s="2">
        <v>1786841000000</v>
      </c>
      <c r="H13" s="4">
        <f t="shared" si="1"/>
        <v>23587200</v>
      </c>
    </row>
    <row r="14" spans="1:8" ht="12.75" customHeight="1">
      <c r="A14" s="15" t="s">
        <v>18</v>
      </c>
      <c r="B14" s="2">
        <v>31</v>
      </c>
      <c r="C14" s="16">
        <f t="shared" si="2"/>
        <v>304</v>
      </c>
      <c r="D14" s="17">
        <f t="shared" si="0"/>
        <v>40118</v>
      </c>
      <c r="E14" s="2">
        <v>1804541000000</v>
      </c>
      <c r="H14" s="4">
        <f t="shared" si="1"/>
        <v>26265600</v>
      </c>
    </row>
    <row r="15" spans="1:8" ht="12.75" customHeight="1">
      <c r="A15" s="15" t="s">
        <v>19</v>
      </c>
      <c r="B15" s="2">
        <v>30</v>
      </c>
      <c r="C15" s="16">
        <f t="shared" si="2"/>
        <v>334</v>
      </c>
      <c r="D15" s="17">
        <f t="shared" si="0"/>
        <v>40148</v>
      </c>
      <c r="E15" s="2">
        <v>1783858000000</v>
      </c>
      <c r="H15" s="4">
        <f t="shared" si="1"/>
        <v>28857600</v>
      </c>
    </row>
    <row r="16" spans="1:8" ht="12.75" customHeight="1">
      <c r="A16" s="15" t="s">
        <v>20</v>
      </c>
      <c r="B16" s="2">
        <v>31</v>
      </c>
      <c r="C16" s="16">
        <f t="shared" si="2"/>
        <v>365</v>
      </c>
      <c r="D16" s="17">
        <f t="shared" si="0"/>
        <v>40179</v>
      </c>
      <c r="E16" s="2">
        <v>1761191000000</v>
      </c>
      <c r="H16" s="4">
        <f t="shared" si="1"/>
        <v>31536000</v>
      </c>
    </row>
    <row r="17" ht="15" customHeight="1">
      <c r="A17" s="13"/>
    </row>
    <row r="18" ht="15.75" customHeight="1">
      <c r="A18" s="13" t="s">
        <v>21</v>
      </c>
    </row>
    <row r="19" spans="1:8" ht="15.75" customHeight="1">
      <c r="A19" s="15" t="s">
        <v>9</v>
      </c>
      <c r="B19" s="2">
        <v>31</v>
      </c>
      <c r="C19" s="16">
        <f>C16+B19</f>
        <v>396</v>
      </c>
      <c r="D19" s="17">
        <f aca="true" t="shared" si="3" ref="D19:D30">D$4+C19</f>
        <v>40210</v>
      </c>
      <c r="E19" s="2">
        <v>1787846000000</v>
      </c>
      <c r="H19" s="4">
        <f aca="true" t="shared" si="4" ref="H19:H30">86400*C19</f>
        <v>34214400</v>
      </c>
    </row>
    <row r="20" spans="1:8" ht="15.75" customHeight="1">
      <c r="A20" s="15" t="s">
        <v>10</v>
      </c>
      <c r="B20" s="2">
        <v>28</v>
      </c>
      <c r="C20" s="16">
        <f aca="true" t="shared" si="5" ref="C20:C30">C19+B20</f>
        <v>424</v>
      </c>
      <c r="D20" s="17">
        <f t="shared" si="3"/>
        <v>40238</v>
      </c>
      <c r="E20" s="2">
        <v>1795066000000</v>
      </c>
      <c r="H20" s="4">
        <f t="shared" si="4"/>
        <v>36633600</v>
      </c>
    </row>
    <row r="21" spans="1:8" ht="15.75" customHeight="1">
      <c r="A21" s="15" t="s">
        <v>11</v>
      </c>
      <c r="B21" s="2">
        <v>31</v>
      </c>
      <c r="C21" s="16">
        <f t="shared" si="5"/>
        <v>455</v>
      </c>
      <c r="D21" s="17">
        <f t="shared" si="3"/>
        <v>40269</v>
      </c>
      <c r="E21" s="2">
        <v>1797672000000</v>
      </c>
      <c r="H21" s="4">
        <f t="shared" si="4"/>
        <v>39312000</v>
      </c>
    </row>
    <row r="22" spans="1:8" ht="15.75" customHeight="1">
      <c r="A22" s="15" t="s">
        <v>12</v>
      </c>
      <c r="B22" s="2">
        <v>30</v>
      </c>
      <c r="C22" s="16">
        <f t="shared" si="5"/>
        <v>485</v>
      </c>
      <c r="D22" s="17">
        <f t="shared" si="3"/>
        <v>40299</v>
      </c>
      <c r="E22" s="2">
        <v>1812790000000</v>
      </c>
      <c r="H22" s="4">
        <f t="shared" si="4"/>
        <v>41904000</v>
      </c>
    </row>
    <row r="23" spans="1:8" ht="15.75" customHeight="1">
      <c r="A23" s="15" t="s">
        <v>13</v>
      </c>
      <c r="B23" s="2">
        <v>31</v>
      </c>
      <c r="C23" s="16">
        <f t="shared" si="5"/>
        <v>516</v>
      </c>
      <c r="D23" s="17">
        <f t="shared" si="3"/>
        <v>40330</v>
      </c>
      <c r="E23" s="2">
        <v>1827104000000</v>
      </c>
      <c r="H23" s="4">
        <f t="shared" si="4"/>
        <v>44582400</v>
      </c>
    </row>
    <row r="24" spans="1:8" ht="15.75" customHeight="1">
      <c r="A24" s="15" t="s">
        <v>14</v>
      </c>
      <c r="B24" s="2">
        <v>30</v>
      </c>
      <c r="C24" s="16">
        <f t="shared" si="5"/>
        <v>546</v>
      </c>
      <c r="D24" s="17">
        <f t="shared" si="3"/>
        <v>40360</v>
      </c>
      <c r="E24" s="2">
        <v>1821982000000</v>
      </c>
      <c r="H24" s="4">
        <f t="shared" si="4"/>
        <v>47174400</v>
      </c>
    </row>
    <row r="25" spans="1:8" ht="15.75" customHeight="1">
      <c r="A25" s="15" t="s">
        <v>15</v>
      </c>
      <c r="B25" s="2">
        <v>31</v>
      </c>
      <c r="C25" s="16">
        <f t="shared" si="5"/>
        <v>577</v>
      </c>
      <c r="D25" s="17">
        <f t="shared" si="3"/>
        <v>40391</v>
      </c>
      <c r="E25" s="2">
        <v>1838296000000</v>
      </c>
      <c r="H25" s="4">
        <f t="shared" si="4"/>
        <v>49852800</v>
      </c>
    </row>
    <row r="26" spans="1:8" ht="15.75" customHeight="1">
      <c r="A26" s="15" t="s">
        <v>16</v>
      </c>
      <c r="B26" s="2">
        <v>31</v>
      </c>
      <c r="C26" s="16">
        <f t="shared" si="5"/>
        <v>608</v>
      </c>
      <c r="D26" s="17">
        <f t="shared" si="3"/>
        <v>40422</v>
      </c>
      <c r="E26" s="2">
        <v>1843006000000</v>
      </c>
      <c r="H26" s="4">
        <f t="shared" si="4"/>
        <v>52531200</v>
      </c>
    </row>
    <row r="27" spans="1:8" ht="15.75" customHeight="1">
      <c r="A27" s="15" t="s">
        <v>17</v>
      </c>
      <c r="B27" s="2">
        <v>30</v>
      </c>
      <c r="C27" s="16">
        <f t="shared" si="5"/>
        <v>638</v>
      </c>
      <c r="D27" s="17">
        <f t="shared" si="3"/>
        <v>40452</v>
      </c>
      <c r="E27" s="2">
        <v>1844817000000</v>
      </c>
      <c r="H27" s="4">
        <f t="shared" si="4"/>
        <v>55123200</v>
      </c>
    </row>
    <row r="28" spans="1:8" ht="15.75" customHeight="1">
      <c r="A28" s="15" t="s">
        <v>18</v>
      </c>
      <c r="B28" s="2">
        <v>31</v>
      </c>
      <c r="C28" s="16">
        <f t="shared" si="5"/>
        <v>669</v>
      </c>
      <c r="D28" s="17">
        <f t="shared" si="3"/>
        <v>40483</v>
      </c>
      <c r="E28" s="2">
        <v>1867398000000</v>
      </c>
      <c r="H28" s="4">
        <f t="shared" si="4"/>
        <v>57801600</v>
      </c>
    </row>
    <row r="29" spans="1:8" ht="15.75" customHeight="1">
      <c r="A29" s="15" t="s">
        <v>19</v>
      </c>
      <c r="B29" s="2">
        <v>30</v>
      </c>
      <c r="C29" s="16">
        <f t="shared" si="5"/>
        <v>699</v>
      </c>
      <c r="D29" s="17">
        <f t="shared" si="3"/>
        <v>40513</v>
      </c>
      <c r="E29" s="2">
        <v>1869924000000</v>
      </c>
      <c r="H29" s="4">
        <f t="shared" si="4"/>
        <v>60393600</v>
      </c>
    </row>
    <row r="30" spans="1:8" ht="15.75" customHeight="1">
      <c r="A30" s="15" t="s">
        <v>20</v>
      </c>
      <c r="B30" s="2">
        <v>31</v>
      </c>
      <c r="C30" s="16">
        <f t="shared" si="5"/>
        <v>730</v>
      </c>
      <c r="D30" s="17">
        <f t="shared" si="3"/>
        <v>40544</v>
      </c>
      <c r="E30" s="2">
        <v>1843227000000</v>
      </c>
      <c r="H30" s="4">
        <f t="shared" si="4"/>
        <v>63072000</v>
      </c>
    </row>
    <row r="31" ht="15.75" customHeight="1">
      <c r="A31" s="15"/>
    </row>
    <row r="32" ht="15.75" customHeight="1">
      <c r="A32" s="13">
        <v>2011</v>
      </c>
    </row>
    <row r="33" spans="1:8" ht="15.75" customHeight="1">
      <c r="A33" s="15" t="s">
        <v>9</v>
      </c>
      <c r="B33" s="2">
        <v>31</v>
      </c>
      <c r="C33" s="16">
        <f>C30+B33</f>
        <v>761</v>
      </c>
      <c r="D33" s="17">
        <f aca="true" t="shared" si="6" ref="D33:D44">D$4+C33</f>
        <v>40575</v>
      </c>
      <c r="E33" s="2">
        <v>1879926000000</v>
      </c>
      <c r="H33" s="4">
        <f aca="true" t="shared" si="7" ref="H33:H44">86400*C33</f>
        <v>65750400</v>
      </c>
    </row>
    <row r="34" spans="1:8" ht="15.75" customHeight="1">
      <c r="A34" s="15" t="s">
        <v>10</v>
      </c>
      <c r="B34" s="2">
        <v>28</v>
      </c>
      <c r="C34" s="16">
        <f aca="true" t="shared" si="8" ref="C34:C44">C33+B34</f>
        <v>789</v>
      </c>
      <c r="D34" s="17">
        <f t="shared" si="6"/>
        <v>40603</v>
      </c>
      <c r="E34" s="2">
        <v>1875965000000</v>
      </c>
      <c r="H34" s="4">
        <f t="shared" si="7"/>
        <v>68169600</v>
      </c>
    </row>
    <row r="35" spans="1:8" ht="15.75" customHeight="1">
      <c r="A35" s="15" t="s">
        <v>11</v>
      </c>
      <c r="B35" s="2">
        <v>31</v>
      </c>
      <c r="C35" s="16">
        <f t="shared" si="8"/>
        <v>820</v>
      </c>
      <c r="D35" s="17">
        <f t="shared" si="6"/>
        <v>40634</v>
      </c>
      <c r="E35" s="2">
        <v>1868060000000</v>
      </c>
      <c r="H35" s="4">
        <f t="shared" si="7"/>
        <v>70848000</v>
      </c>
    </row>
    <row r="36" spans="1:8" ht="15.75" customHeight="1">
      <c r="A36" s="15" t="s">
        <v>12</v>
      </c>
      <c r="B36" s="2">
        <v>30</v>
      </c>
      <c r="C36" s="16">
        <f t="shared" si="8"/>
        <v>850</v>
      </c>
      <c r="D36" s="17">
        <f t="shared" si="6"/>
        <v>40664</v>
      </c>
      <c r="E36" s="2">
        <v>1890622000000</v>
      </c>
      <c r="H36" s="4">
        <f t="shared" si="7"/>
        <v>73440000</v>
      </c>
    </row>
    <row r="37" spans="1:8" ht="15.75" customHeight="1">
      <c r="A37" s="15" t="s">
        <v>13</v>
      </c>
      <c r="B37" s="2">
        <v>31</v>
      </c>
      <c r="C37" s="16">
        <f t="shared" si="8"/>
        <v>881</v>
      </c>
      <c r="D37" s="17">
        <f t="shared" si="6"/>
        <v>40695</v>
      </c>
      <c r="E37" s="2">
        <v>1897472000000</v>
      </c>
      <c r="H37" s="4">
        <f t="shared" si="7"/>
        <v>76118400</v>
      </c>
    </row>
    <row r="38" spans="1:8" ht="15.75" customHeight="1">
      <c r="A38" s="15" t="s">
        <v>14</v>
      </c>
      <c r="B38" s="2">
        <v>30</v>
      </c>
      <c r="C38" s="16">
        <f t="shared" si="8"/>
        <v>911</v>
      </c>
      <c r="D38" s="17">
        <f t="shared" si="6"/>
        <v>40725</v>
      </c>
      <c r="E38" s="2">
        <v>1909919000000</v>
      </c>
      <c r="H38" s="4">
        <f t="shared" si="7"/>
        <v>78710400</v>
      </c>
    </row>
    <row r="39" spans="1:8" ht="15.75" customHeight="1">
      <c r="A39" s="15" t="s">
        <v>15</v>
      </c>
      <c r="B39" s="2">
        <v>31</v>
      </c>
      <c r="C39" s="16">
        <f t="shared" si="8"/>
        <v>942</v>
      </c>
      <c r="D39" s="17">
        <f t="shared" si="6"/>
        <v>40756</v>
      </c>
      <c r="E39" s="2">
        <v>1911807000000</v>
      </c>
      <c r="H39" s="4">
        <f t="shared" si="7"/>
        <v>81388800</v>
      </c>
    </row>
    <row r="40" spans="1:8" ht="15.75" customHeight="1">
      <c r="A40" s="15" t="s">
        <v>16</v>
      </c>
      <c r="B40" s="2">
        <v>31</v>
      </c>
      <c r="C40" s="16">
        <f t="shared" si="8"/>
        <v>973</v>
      </c>
      <c r="D40" s="17">
        <f t="shared" si="6"/>
        <v>40787</v>
      </c>
      <c r="E40" s="2">
        <v>1899553000000</v>
      </c>
      <c r="H40" s="4">
        <f t="shared" si="7"/>
        <v>84067200</v>
      </c>
    </row>
    <row r="41" spans="1:8" ht="15.75" customHeight="1">
      <c r="A41" s="15" t="s">
        <v>17</v>
      </c>
      <c r="B41" s="2">
        <v>30</v>
      </c>
      <c r="C41" s="16">
        <f t="shared" si="8"/>
        <v>1003</v>
      </c>
      <c r="D41" s="17">
        <f t="shared" si="6"/>
        <v>40817</v>
      </c>
      <c r="E41" s="2">
        <v>1883749000000</v>
      </c>
      <c r="H41" s="4">
        <f t="shared" si="7"/>
        <v>86659200</v>
      </c>
    </row>
    <row r="42" spans="1:8" ht="15.75" customHeight="1">
      <c r="A42" s="15" t="s">
        <v>18</v>
      </c>
      <c r="B42" s="2">
        <v>31</v>
      </c>
      <c r="C42" s="16">
        <f t="shared" si="8"/>
        <v>1034</v>
      </c>
      <c r="D42" s="17">
        <f t="shared" si="6"/>
        <v>40848</v>
      </c>
      <c r="E42" s="2">
        <v>1909192000000</v>
      </c>
      <c r="H42" s="4">
        <f t="shared" si="7"/>
        <v>89337600</v>
      </c>
    </row>
    <row r="43" spans="1:8" ht="15.75" customHeight="1">
      <c r="A43" s="15" t="s">
        <v>19</v>
      </c>
      <c r="B43" s="2">
        <v>30</v>
      </c>
      <c r="C43" s="16">
        <f t="shared" si="8"/>
        <v>1064</v>
      </c>
      <c r="D43" s="17">
        <f t="shared" si="6"/>
        <v>40878</v>
      </c>
      <c r="E43" s="2">
        <v>1905012000000</v>
      </c>
      <c r="H43" s="4">
        <f t="shared" si="7"/>
        <v>91929600</v>
      </c>
    </row>
    <row r="44" spans="1:8" ht="15.75" customHeight="1">
      <c r="A44" s="15" t="s">
        <v>20</v>
      </c>
      <c r="B44" s="2">
        <v>31</v>
      </c>
      <c r="C44" s="16">
        <f t="shared" si="8"/>
        <v>1095</v>
      </c>
      <c r="D44" s="17">
        <f t="shared" si="6"/>
        <v>40909</v>
      </c>
      <c r="E44" s="2">
        <v>1897946000000</v>
      </c>
      <c r="H44" s="4">
        <f t="shared" si="7"/>
        <v>94608000</v>
      </c>
    </row>
    <row r="45" ht="15.75" customHeight="1">
      <c r="A45" s="15"/>
    </row>
    <row r="46" ht="15.75" customHeight="1">
      <c r="A46" s="13" t="s">
        <v>22</v>
      </c>
    </row>
    <row r="47" spans="1:8" ht="15.75" customHeight="1">
      <c r="A47" s="15" t="s">
        <v>9</v>
      </c>
      <c r="B47" s="2">
        <v>31</v>
      </c>
      <c r="C47" s="16">
        <f>C44+B47</f>
        <v>1126</v>
      </c>
      <c r="D47" s="17">
        <f aca="true" t="shared" si="9" ref="D47:D58">D$4+C47</f>
        <v>40940</v>
      </c>
      <c r="E47" s="2">
        <v>1935829000000</v>
      </c>
      <c r="H47" s="4">
        <f aca="true" t="shared" si="10" ref="H47:H58">86400*C47</f>
        <v>97286400</v>
      </c>
    </row>
    <row r="48" spans="1:8" ht="15.75" customHeight="1">
      <c r="A48" s="15" t="s">
        <v>23</v>
      </c>
      <c r="B48" s="18">
        <v>29</v>
      </c>
      <c r="C48" s="16">
        <f aca="true" t="shared" si="11" ref="C48:C58">C47+B48</f>
        <v>1155</v>
      </c>
      <c r="D48" s="17">
        <f t="shared" si="9"/>
        <v>40969</v>
      </c>
      <c r="E48" s="2">
        <v>1928211000000</v>
      </c>
      <c r="H48" s="4">
        <f t="shared" si="10"/>
        <v>99792000</v>
      </c>
    </row>
    <row r="49" spans="1:8" ht="15.75" customHeight="1">
      <c r="A49" s="15" t="s">
        <v>11</v>
      </c>
      <c r="B49" s="2">
        <v>31</v>
      </c>
      <c r="C49" s="16">
        <f t="shared" si="11"/>
        <v>1186</v>
      </c>
      <c r="D49" s="17">
        <f t="shared" si="9"/>
        <v>41000</v>
      </c>
      <c r="E49" s="2">
        <v>1946083000000</v>
      </c>
      <c r="H49" s="4">
        <f t="shared" si="10"/>
        <v>102470400</v>
      </c>
    </row>
    <row r="50" spans="1:8" ht="15.75" customHeight="1">
      <c r="A50" s="15" t="s">
        <v>12</v>
      </c>
      <c r="B50" s="2">
        <v>30</v>
      </c>
      <c r="C50" s="16">
        <f t="shared" si="11"/>
        <v>1216</v>
      </c>
      <c r="D50" s="17">
        <f t="shared" si="9"/>
        <v>41030</v>
      </c>
      <c r="E50" s="2">
        <v>1948584000000</v>
      </c>
      <c r="H50" s="4">
        <f t="shared" si="10"/>
        <v>105062400</v>
      </c>
    </row>
    <row r="51" spans="1:8" ht="15.75" customHeight="1">
      <c r="A51" s="15" t="s">
        <v>13</v>
      </c>
      <c r="B51" s="2">
        <v>31</v>
      </c>
      <c r="C51" s="16">
        <f t="shared" si="11"/>
        <v>1247</v>
      </c>
      <c r="D51" s="17">
        <f t="shared" si="9"/>
        <v>41061</v>
      </c>
      <c r="E51" s="2">
        <v>1966303000000</v>
      </c>
      <c r="H51" s="4">
        <f t="shared" si="10"/>
        <v>107740800</v>
      </c>
    </row>
    <row r="52" spans="1:8" ht="15.75" customHeight="1">
      <c r="A52" s="15" t="s">
        <v>14</v>
      </c>
      <c r="B52" s="2">
        <v>30</v>
      </c>
      <c r="C52" s="16">
        <f t="shared" si="11"/>
        <v>1277</v>
      </c>
      <c r="D52" s="17">
        <f t="shared" si="9"/>
        <v>41091</v>
      </c>
      <c r="E52" s="2">
        <v>1972940000000</v>
      </c>
      <c r="H52" s="4">
        <f t="shared" si="10"/>
        <v>110332800</v>
      </c>
    </row>
    <row r="53" spans="1:8" ht="15.75" customHeight="1">
      <c r="A53" s="15" t="s">
        <v>15</v>
      </c>
      <c r="B53" s="2">
        <v>31</v>
      </c>
      <c r="C53" s="16">
        <f t="shared" si="11"/>
        <v>1308</v>
      </c>
      <c r="D53" s="17">
        <f t="shared" si="9"/>
        <v>41122</v>
      </c>
      <c r="E53" s="2">
        <v>1967480000000</v>
      </c>
      <c r="H53" s="4">
        <f t="shared" si="10"/>
        <v>113011200</v>
      </c>
    </row>
    <row r="54" spans="1:8" ht="15.75" customHeight="1">
      <c r="A54" s="15" t="s">
        <v>16</v>
      </c>
      <c r="B54" s="2">
        <v>31</v>
      </c>
      <c r="C54" s="16">
        <f t="shared" si="11"/>
        <v>1339</v>
      </c>
      <c r="D54" s="17">
        <f t="shared" si="9"/>
        <v>41153</v>
      </c>
      <c r="E54" s="2">
        <v>1975631000000</v>
      </c>
      <c r="H54" s="4">
        <f t="shared" si="10"/>
        <v>115689600</v>
      </c>
    </row>
    <row r="55" spans="1:8" ht="15.75" customHeight="1">
      <c r="A55" s="15" t="s">
        <v>17</v>
      </c>
      <c r="B55" s="2">
        <v>30</v>
      </c>
      <c r="C55" s="16">
        <f t="shared" si="11"/>
        <v>1369</v>
      </c>
      <c r="D55" s="17">
        <f t="shared" si="9"/>
        <v>41183</v>
      </c>
      <c r="E55" s="2">
        <v>1995143000000</v>
      </c>
      <c r="H55" s="4">
        <f t="shared" si="10"/>
        <v>118281600</v>
      </c>
    </row>
    <row r="56" spans="1:8" ht="15.75" customHeight="1">
      <c r="A56" s="15" t="s">
        <v>18</v>
      </c>
      <c r="B56" s="2">
        <v>31</v>
      </c>
      <c r="C56" s="16">
        <f t="shared" si="11"/>
        <v>1400</v>
      </c>
      <c r="D56" s="17">
        <f t="shared" si="9"/>
        <v>41214</v>
      </c>
      <c r="E56" s="2">
        <v>2014693000000</v>
      </c>
      <c r="H56" s="4">
        <f t="shared" si="10"/>
        <v>120960000</v>
      </c>
    </row>
    <row r="57" spans="1:8" ht="15.75" customHeight="1">
      <c r="A57" s="15" t="s">
        <v>19</v>
      </c>
      <c r="B57" s="2">
        <v>30</v>
      </c>
      <c r="C57" s="16">
        <f t="shared" si="11"/>
        <v>1430</v>
      </c>
      <c r="D57" s="17">
        <f t="shared" si="9"/>
        <v>41244</v>
      </c>
      <c r="E57" s="2">
        <v>2020668000000</v>
      </c>
      <c r="H57" s="4">
        <f t="shared" si="10"/>
        <v>123552000</v>
      </c>
    </row>
    <row r="58" spans="1:8" ht="15.75" customHeight="1">
      <c r="A58" s="15" t="s">
        <v>20</v>
      </c>
      <c r="B58" s="2">
        <v>31</v>
      </c>
      <c r="C58" s="16">
        <f t="shared" si="11"/>
        <v>1461</v>
      </c>
      <c r="D58" s="17">
        <f t="shared" si="9"/>
        <v>41275</v>
      </c>
      <c r="E58" s="2">
        <v>1988363000000</v>
      </c>
      <c r="H58" s="4">
        <f t="shared" si="10"/>
        <v>126230400</v>
      </c>
    </row>
    <row r="59" ht="15.75" customHeight="1">
      <c r="A59" s="15"/>
    </row>
    <row r="60" ht="15.75" customHeight="1">
      <c r="A60" s="13" t="s">
        <v>24</v>
      </c>
    </row>
    <row r="61" spans="1:8" ht="15.75" customHeight="1">
      <c r="A61" s="15" t="s">
        <v>9</v>
      </c>
      <c r="B61" s="2">
        <v>31</v>
      </c>
      <c r="C61" s="16">
        <f>C58+B61</f>
        <v>1492</v>
      </c>
      <c r="D61" s="17">
        <f aca="true" t="shared" si="12" ref="D61:D72">D$4+C61</f>
        <v>41306</v>
      </c>
      <c r="E61" s="2">
        <v>2023480000000</v>
      </c>
      <c r="H61" s="4">
        <f aca="true" t="shared" si="13" ref="H61:H72">86400*C61</f>
        <v>128908800</v>
      </c>
    </row>
    <row r="62" spans="1:8" ht="15.75" customHeight="1">
      <c r="A62" s="15" t="s">
        <v>10</v>
      </c>
      <c r="B62" s="2">
        <v>28</v>
      </c>
      <c r="C62" s="16">
        <f aca="true" t="shared" si="14" ref="C62:C72">C61+B62</f>
        <v>1520</v>
      </c>
      <c r="D62" s="17">
        <f t="shared" si="12"/>
        <v>41334</v>
      </c>
      <c r="E62" s="2">
        <v>2018477000000</v>
      </c>
      <c r="H62" s="4">
        <f t="shared" si="13"/>
        <v>131328000</v>
      </c>
    </row>
    <row r="63" spans="1:8" ht="15.75" customHeight="1">
      <c r="A63" s="15" t="s">
        <v>11</v>
      </c>
      <c r="B63" s="2">
        <v>31</v>
      </c>
      <c r="C63" s="16">
        <f t="shared" si="14"/>
        <v>1551</v>
      </c>
      <c r="D63" s="17">
        <f t="shared" si="12"/>
        <v>41365</v>
      </c>
      <c r="E63" s="2">
        <v>2035833000000</v>
      </c>
      <c r="H63" s="4">
        <f t="shared" si="13"/>
        <v>134006400</v>
      </c>
    </row>
    <row r="64" spans="1:8" ht="15.75" customHeight="1">
      <c r="A64" s="15" t="s">
        <v>12</v>
      </c>
      <c r="B64" s="2">
        <v>30</v>
      </c>
      <c r="C64" s="16">
        <f t="shared" si="14"/>
        <v>1581</v>
      </c>
      <c r="D64" s="17">
        <f t="shared" si="12"/>
        <v>41395</v>
      </c>
      <c r="E64" s="2">
        <v>2042370000000</v>
      </c>
      <c r="H64" s="4">
        <f t="shared" si="13"/>
        <v>136598400</v>
      </c>
    </row>
    <row r="65" spans="1:8" ht="15.75" customHeight="1">
      <c r="A65" s="15" t="s">
        <v>13</v>
      </c>
      <c r="B65" s="2">
        <v>31</v>
      </c>
      <c r="C65" s="16">
        <f t="shared" si="14"/>
        <v>1612</v>
      </c>
      <c r="D65" s="17">
        <f t="shared" si="12"/>
        <v>41426</v>
      </c>
      <c r="E65" s="2">
        <v>2075645000000</v>
      </c>
      <c r="H65" s="4">
        <f t="shared" si="13"/>
        <v>139276800</v>
      </c>
    </row>
    <row r="66" spans="1:8" ht="15.75" customHeight="1">
      <c r="A66" s="15" t="s">
        <v>14</v>
      </c>
      <c r="B66" s="2">
        <v>30</v>
      </c>
      <c r="C66" s="16">
        <f t="shared" si="14"/>
        <v>1642</v>
      </c>
      <c r="D66" s="17">
        <f t="shared" si="12"/>
        <v>41456</v>
      </c>
      <c r="E66" s="2">
        <v>2076182000000</v>
      </c>
      <c r="H66" s="4">
        <f t="shared" si="13"/>
        <v>141868800</v>
      </c>
    </row>
    <row r="67" spans="1:8" ht="15.75" customHeight="1">
      <c r="A67" s="15" t="s">
        <v>15</v>
      </c>
      <c r="B67" s="2">
        <v>31</v>
      </c>
      <c r="C67" s="16">
        <f t="shared" si="14"/>
        <v>1673</v>
      </c>
      <c r="D67" s="17">
        <f t="shared" si="12"/>
        <v>41487</v>
      </c>
      <c r="E67" s="2">
        <v>2073932000000</v>
      </c>
      <c r="H67" s="4">
        <f t="shared" si="13"/>
        <v>144547200</v>
      </c>
    </row>
    <row r="68" spans="1:8" ht="15.75" customHeight="1">
      <c r="A68" s="15" t="s">
        <v>16</v>
      </c>
      <c r="B68" s="2">
        <v>31</v>
      </c>
      <c r="C68" s="16">
        <f t="shared" si="14"/>
        <v>1704</v>
      </c>
      <c r="D68" s="17">
        <f t="shared" si="12"/>
        <v>41518</v>
      </c>
      <c r="E68" s="2">
        <v>2060003000000</v>
      </c>
      <c r="H68" s="4">
        <f t="shared" si="13"/>
        <v>147225600</v>
      </c>
    </row>
    <row r="69" spans="1:8" ht="15.75" customHeight="1">
      <c r="A69" s="15" t="s">
        <v>17</v>
      </c>
      <c r="B69" s="2">
        <v>30</v>
      </c>
      <c r="C69" s="16">
        <f t="shared" si="14"/>
        <v>1734</v>
      </c>
      <c r="D69" s="17">
        <f t="shared" si="12"/>
        <v>41548</v>
      </c>
      <c r="E69" s="2">
        <v>2068722000000</v>
      </c>
      <c r="H69" s="4">
        <f t="shared" si="13"/>
        <v>149817600</v>
      </c>
    </row>
    <row r="70" spans="1:8" ht="15.75" customHeight="1">
      <c r="A70" s="15" t="s">
        <v>18</v>
      </c>
      <c r="B70" s="2">
        <v>31</v>
      </c>
      <c r="C70" s="16">
        <f t="shared" si="14"/>
        <v>1765</v>
      </c>
      <c r="D70" s="17">
        <f t="shared" si="12"/>
        <v>41579</v>
      </c>
      <c r="E70" s="2">
        <v>2085321000000</v>
      </c>
      <c r="H70" s="4">
        <f t="shared" si="13"/>
        <v>152496000</v>
      </c>
    </row>
    <row r="71" spans="1:8" ht="15.75" customHeight="1">
      <c r="A71" s="15" t="s">
        <v>19</v>
      </c>
      <c r="B71" s="2">
        <v>30</v>
      </c>
      <c r="C71" s="16">
        <f t="shared" si="14"/>
        <v>1795</v>
      </c>
      <c r="D71" s="17">
        <f t="shared" si="12"/>
        <v>41609</v>
      </c>
      <c r="E71" s="2">
        <v>2104042000000</v>
      </c>
      <c r="H71" s="4">
        <f t="shared" si="13"/>
        <v>155088000</v>
      </c>
    </row>
    <row r="72" spans="1:8" ht="15.75" customHeight="1">
      <c r="A72" s="15" t="s">
        <v>20</v>
      </c>
      <c r="B72" s="2">
        <v>31</v>
      </c>
      <c r="C72" s="16">
        <f t="shared" si="14"/>
        <v>1826</v>
      </c>
      <c r="D72" s="17">
        <f t="shared" si="12"/>
        <v>41640</v>
      </c>
      <c r="E72" s="2">
        <v>2069216000000</v>
      </c>
      <c r="H72" s="4">
        <f t="shared" si="13"/>
        <v>157766400</v>
      </c>
    </row>
    <row r="73" ht="15.75" customHeight="1">
      <c r="A73" s="15"/>
    </row>
    <row r="74" spans="1:3" ht="15.75" customHeight="1">
      <c r="A74" s="13" t="s">
        <v>25</v>
      </c>
      <c r="C74" s="16"/>
    </row>
    <row r="75" spans="1:8" ht="15.75" customHeight="1">
      <c r="A75" s="15" t="s">
        <v>9</v>
      </c>
      <c r="B75" s="2">
        <v>31</v>
      </c>
      <c r="C75" s="16">
        <f>C72+B75</f>
        <v>1857</v>
      </c>
      <c r="D75" s="17">
        <f aca="true" t="shared" si="15" ref="D75:D86">D$4+C75</f>
        <v>41671</v>
      </c>
      <c r="E75" s="2">
        <v>2089689000000</v>
      </c>
      <c r="H75" s="4">
        <f aca="true" t="shared" si="16" ref="H75:H86">86400*C75</f>
        <v>160444800</v>
      </c>
    </row>
    <row r="76" spans="1:8" ht="15.75" customHeight="1">
      <c r="A76" s="15" t="s">
        <v>10</v>
      </c>
      <c r="B76" s="2">
        <v>28</v>
      </c>
      <c r="C76" s="16">
        <f aca="true" t="shared" si="17" ref="C76:C86">C75+B76</f>
        <v>1885</v>
      </c>
      <c r="D76" s="17">
        <f t="shared" si="15"/>
        <v>41699</v>
      </c>
      <c r="E76" s="2">
        <v>2107270000000</v>
      </c>
      <c r="H76" s="4">
        <f t="shared" si="16"/>
        <v>162864000</v>
      </c>
    </row>
    <row r="77" spans="1:8" ht="15.75" customHeight="1">
      <c r="A77" s="15" t="s">
        <v>11</v>
      </c>
      <c r="B77" s="2">
        <v>31</v>
      </c>
      <c r="C77" s="16">
        <f t="shared" si="17"/>
        <v>1916</v>
      </c>
      <c r="D77" s="17">
        <f t="shared" si="15"/>
        <v>41730</v>
      </c>
      <c r="E77" s="2">
        <v>2120143000000</v>
      </c>
      <c r="H77" s="4">
        <f t="shared" si="16"/>
        <v>165542400</v>
      </c>
    </row>
    <row r="78" spans="1:8" ht="15.75" customHeight="1">
      <c r="A78" s="15" t="s">
        <v>12</v>
      </c>
      <c r="B78" s="2">
        <v>30</v>
      </c>
      <c r="C78" s="16">
        <f t="shared" si="17"/>
        <v>1946</v>
      </c>
      <c r="D78" s="17">
        <f t="shared" si="15"/>
        <v>41760</v>
      </c>
      <c r="E78" s="2">
        <v>2146374000000</v>
      </c>
      <c r="H78" s="4">
        <f t="shared" si="16"/>
        <v>168134400</v>
      </c>
    </row>
    <row r="79" spans="1:8" ht="15.75" customHeight="1">
      <c r="A79" s="15" t="s">
        <v>13</v>
      </c>
      <c r="B79" s="2">
        <v>31</v>
      </c>
      <c r="C79" s="16">
        <f t="shared" si="17"/>
        <v>1977</v>
      </c>
      <c r="D79" s="17">
        <f t="shared" si="15"/>
        <v>41791</v>
      </c>
      <c r="E79" s="2">
        <v>2166548000000</v>
      </c>
      <c r="H79" s="4">
        <f t="shared" si="16"/>
        <v>170812800</v>
      </c>
    </row>
    <row r="80" spans="1:8" ht="15.75" customHeight="1">
      <c r="A80" s="15" t="s">
        <v>14</v>
      </c>
      <c r="B80" s="2">
        <v>30</v>
      </c>
      <c r="C80" s="16">
        <f t="shared" si="17"/>
        <v>2007</v>
      </c>
      <c r="D80" s="17">
        <f t="shared" si="15"/>
        <v>41821</v>
      </c>
      <c r="E80" s="2">
        <v>2168855000000</v>
      </c>
      <c r="H80" s="4">
        <f t="shared" si="16"/>
        <v>173404800</v>
      </c>
    </row>
    <row r="81" spans="1:8" ht="15.75" customHeight="1">
      <c r="A81" s="15" t="s">
        <v>15</v>
      </c>
      <c r="B81" s="2">
        <v>31</v>
      </c>
      <c r="C81" s="16">
        <f t="shared" si="17"/>
        <v>2038</v>
      </c>
      <c r="D81" s="17">
        <f t="shared" si="15"/>
        <v>41852</v>
      </c>
      <c r="E81" s="2">
        <v>2168909000000</v>
      </c>
      <c r="H81" s="4">
        <f t="shared" si="16"/>
        <v>176083200</v>
      </c>
    </row>
    <row r="82" spans="1:8" ht="15.75" customHeight="1">
      <c r="A82" s="15" t="s">
        <v>16</v>
      </c>
      <c r="B82" s="2">
        <v>31</v>
      </c>
      <c r="C82" s="16">
        <f t="shared" si="17"/>
        <v>2069</v>
      </c>
      <c r="D82" s="17">
        <f t="shared" si="15"/>
        <v>41883</v>
      </c>
      <c r="E82" s="2">
        <v>2148410000000</v>
      </c>
      <c r="H82" s="4">
        <f t="shared" si="16"/>
        <v>178761600</v>
      </c>
    </row>
    <row r="83" spans="1:8" ht="15.75" customHeight="1">
      <c r="A83" s="15" t="s">
        <v>17</v>
      </c>
      <c r="B83" s="2">
        <v>30</v>
      </c>
      <c r="C83" s="16">
        <f t="shared" si="17"/>
        <v>2099</v>
      </c>
      <c r="D83" s="17">
        <f t="shared" si="15"/>
        <v>41913</v>
      </c>
      <c r="E83" s="2">
        <v>2134065000000</v>
      </c>
      <c r="H83" s="4">
        <f t="shared" si="16"/>
        <v>181353600</v>
      </c>
    </row>
    <row r="84" spans="1:8" ht="15.75" customHeight="1">
      <c r="A84" s="15" t="s">
        <v>18</v>
      </c>
      <c r="B84" s="2">
        <v>31</v>
      </c>
      <c r="C84" s="16">
        <f t="shared" si="17"/>
        <v>2130</v>
      </c>
      <c r="D84" s="17">
        <f t="shared" si="15"/>
        <v>41944</v>
      </c>
      <c r="E84" s="2">
        <v>2157558000000</v>
      </c>
      <c r="H84" s="4">
        <f t="shared" si="16"/>
        <v>184032000</v>
      </c>
    </row>
    <row r="85" spans="1:8" ht="15.75" customHeight="1">
      <c r="A85" s="15" t="s">
        <v>19</v>
      </c>
      <c r="B85" s="2">
        <v>30</v>
      </c>
      <c r="C85" s="16">
        <f t="shared" si="17"/>
        <v>2160</v>
      </c>
      <c r="D85" s="17">
        <f t="shared" si="15"/>
        <v>41974</v>
      </c>
      <c r="E85" s="2">
        <v>2160083000000</v>
      </c>
      <c r="H85" s="4">
        <f t="shared" si="16"/>
        <v>186624000</v>
      </c>
    </row>
    <row r="86" spans="1:8" ht="15.75" customHeight="1">
      <c r="A86" s="15" t="s">
        <v>20</v>
      </c>
      <c r="B86" s="19">
        <v>31</v>
      </c>
      <c r="C86" s="20">
        <f t="shared" si="17"/>
        <v>2191</v>
      </c>
      <c r="D86" s="21">
        <f t="shared" si="15"/>
        <v>42005</v>
      </c>
      <c r="E86" s="2">
        <v>2136204000000</v>
      </c>
      <c r="H86" s="4">
        <f t="shared" si="16"/>
        <v>189302400</v>
      </c>
    </row>
    <row r="87" spans="1:5" ht="15.75" customHeight="1">
      <c r="A87" s="15"/>
      <c r="E87" s="22"/>
    </row>
    <row r="88" spans="1:5" ht="15.75" customHeight="1">
      <c r="A88" s="13" t="s">
        <v>26</v>
      </c>
      <c r="E88" s="22"/>
    </row>
    <row r="89" spans="1:8" ht="15.75" customHeight="1">
      <c r="A89" s="15" t="s">
        <v>9</v>
      </c>
      <c r="B89" s="2">
        <v>31</v>
      </c>
      <c r="C89" s="16">
        <f>B89+C86</f>
        <v>2222</v>
      </c>
      <c r="D89" s="17">
        <f aca="true" t="shared" si="18" ref="D89:D100">D$4+C89</f>
        <v>42036</v>
      </c>
      <c r="E89" s="2">
        <v>2165879000000</v>
      </c>
      <c r="H89" s="4">
        <f aca="true" t="shared" si="19" ref="H89:H100">86400*C89</f>
        <v>191980800</v>
      </c>
    </row>
    <row r="90" spans="1:8" ht="15.75" customHeight="1">
      <c r="A90" s="15" t="s">
        <v>10</v>
      </c>
      <c r="B90" s="2">
        <v>28</v>
      </c>
      <c r="C90" s="16">
        <f aca="true" t="shared" si="20" ref="C90:C100">B90+C89</f>
        <v>2250</v>
      </c>
      <c r="D90" s="17">
        <f t="shared" si="18"/>
        <v>42064</v>
      </c>
      <c r="E90" s="2">
        <v>2169197000000</v>
      </c>
      <c r="H90" s="4">
        <f t="shared" si="19"/>
        <v>194400000</v>
      </c>
    </row>
    <row r="91" spans="1:8" ht="15.75" customHeight="1">
      <c r="A91" s="15" t="s">
        <v>11</v>
      </c>
      <c r="B91" s="2">
        <v>31</v>
      </c>
      <c r="C91" s="16">
        <f t="shared" si="20"/>
        <v>2281</v>
      </c>
      <c r="D91" s="17">
        <f t="shared" si="18"/>
        <v>42095</v>
      </c>
      <c r="E91" s="2">
        <v>2184492000000</v>
      </c>
      <c r="H91" s="4">
        <f t="shared" si="19"/>
        <v>197078400</v>
      </c>
    </row>
    <row r="92" spans="1:8" ht="15.75" customHeight="1">
      <c r="A92" s="15" t="s">
        <v>12</v>
      </c>
      <c r="B92" s="2">
        <v>30</v>
      </c>
      <c r="C92" s="16">
        <f t="shared" si="20"/>
        <v>2311</v>
      </c>
      <c r="D92" s="17">
        <f t="shared" si="18"/>
        <v>42125</v>
      </c>
      <c r="E92" s="2">
        <v>2194805000000</v>
      </c>
      <c r="H92" s="4">
        <f t="shared" si="19"/>
        <v>199670400</v>
      </c>
    </row>
    <row r="93" spans="1:8" ht="15.75" customHeight="1">
      <c r="A93" s="15" t="s">
        <v>13</v>
      </c>
      <c r="B93" s="2">
        <v>31</v>
      </c>
      <c r="C93" s="16">
        <f t="shared" si="20"/>
        <v>2342</v>
      </c>
      <c r="D93" s="17">
        <f t="shared" si="18"/>
        <v>42156</v>
      </c>
      <c r="E93" s="2">
        <v>2218231000000</v>
      </c>
      <c r="H93" s="4">
        <f t="shared" si="19"/>
        <v>202348800</v>
      </c>
    </row>
    <row r="94" spans="1:8" ht="15.75" customHeight="1">
      <c r="A94" s="15" t="s">
        <v>14</v>
      </c>
      <c r="B94" s="2">
        <v>30</v>
      </c>
      <c r="C94" s="16">
        <f t="shared" si="20"/>
        <v>2372</v>
      </c>
      <c r="D94" s="17">
        <f t="shared" si="18"/>
        <v>42186</v>
      </c>
      <c r="E94" s="2">
        <v>2204954000000</v>
      </c>
      <c r="H94" s="4">
        <f t="shared" si="19"/>
        <v>204940800</v>
      </c>
    </row>
    <row r="95" spans="1:8" ht="15.75" customHeight="1">
      <c r="A95" s="15" t="s">
        <v>15</v>
      </c>
      <c r="B95" s="2">
        <v>31</v>
      </c>
      <c r="C95" s="16">
        <f t="shared" si="20"/>
        <v>2403</v>
      </c>
      <c r="D95" s="17">
        <f t="shared" si="18"/>
        <v>42217</v>
      </c>
      <c r="E95" s="2">
        <v>2200553000000</v>
      </c>
      <c r="H95" s="4">
        <f t="shared" si="19"/>
        <v>207619200</v>
      </c>
    </row>
    <row r="96" spans="1:8" ht="15.75" customHeight="1">
      <c r="A96" s="15" t="s">
        <v>16</v>
      </c>
      <c r="B96" s="2">
        <v>31</v>
      </c>
      <c r="C96" s="16">
        <f t="shared" si="20"/>
        <v>2434</v>
      </c>
      <c r="D96" s="17">
        <f t="shared" si="18"/>
        <v>42248</v>
      </c>
      <c r="E96" s="2">
        <v>2186414000000</v>
      </c>
      <c r="H96" s="4">
        <f t="shared" si="19"/>
        <v>210297600</v>
      </c>
    </row>
    <row r="97" spans="1:8" ht="15.75" customHeight="1">
      <c r="A97" s="15" t="s">
        <v>17</v>
      </c>
      <c r="B97" s="2">
        <v>30</v>
      </c>
      <c r="C97" s="16">
        <f t="shared" si="20"/>
        <v>2464</v>
      </c>
      <c r="D97" s="17">
        <f t="shared" si="18"/>
        <v>42278</v>
      </c>
      <c r="E97" s="2">
        <v>2193378000000</v>
      </c>
      <c r="H97" s="4">
        <f t="shared" si="19"/>
        <v>212889600</v>
      </c>
    </row>
    <row r="98" spans="1:8" ht="15.75" customHeight="1">
      <c r="A98" s="15" t="s">
        <v>18</v>
      </c>
      <c r="B98" s="2">
        <v>31</v>
      </c>
      <c r="C98" s="16">
        <f t="shared" si="20"/>
        <v>2495</v>
      </c>
      <c r="D98" s="17">
        <f t="shared" si="18"/>
        <v>42309</v>
      </c>
      <c r="E98" s="2">
        <v>2213397000000</v>
      </c>
      <c r="H98" s="4">
        <f t="shared" si="19"/>
        <v>215568000</v>
      </c>
    </row>
    <row r="99" spans="1:8" ht="15.75" customHeight="1">
      <c r="A99" s="15" t="s">
        <v>19</v>
      </c>
      <c r="B99" s="2">
        <v>30</v>
      </c>
      <c r="C99" s="16">
        <f t="shared" si="20"/>
        <v>2525</v>
      </c>
      <c r="D99" s="17">
        <f t="shared" si="18"/>
        <v>42339</v>
      </c>
      <c r="E99" s="2">
        <v>2212004000000</v>
      </c>
      <c r="H99" s="4">
        <f t="shared" si="19"/>
        <v>218160000</v>
      </c>
    </row>
    <row r="100" spans="1:8" ht="15.75" customHeight="1">
      <c r="A100" s="15" t="s">
        <v>27</v>
      </c>
      <c r="B100" s="19">
        <v>31</v>
      </c>
      <c r="C100" s="20">
        <f t="shared" si="20"/>
        <v>2556</v>
      </c>
      <c r="D100" s="21">
        <f t="shared" si="18"/>
        <v>42370</v>
      </c>
      <c r="E100" s="2">
        <v>2171671000000</v>
      </c>
      <c r="H100" s="4">
        <f t="shared" si="19"/>
        <v>220838400</v>
      </c>
    </row>
    <row r="101" spans="1:5" ht="15.75" customHeight="1">
      <c r="A101" s="15"/>
      <c r="C101" s="16"/>
      <c r="E101" s="22"/>
    </row>
    <row r="102" spans="1:5" ht="15.75" customHeight="1">
      <c r="A102" s="13" t="s">
        <v>28</v>
      </c>
      <c r="C102" s="16"/>
      <c r="E102" s="22"/>
    </row>
    <row r="103" spans="1:8" ht="15.75" customHeight="1">
      <c r="A103" s="15" t="s">
        <v>9</v>
      </c>
      <c r="B103" s="2">
        <v>31</v>
      </c>
      <c r="C103" s="16">
        <f>B103+C100</f>
        <v>2587</v>
      </c>
      <c r="D103" s="17">
        <f aca="true" t="shared" si="21" ref="D103:D114">D$4+C103</f>
        <v>42401</v>
      </c>
      <c r="E103" s="2">
        <v>2191386000000</v>
      </c>
      <c r="H103" s="4">
        <f aca="true" t="shared" si="22" ref="H103:H114">86400*C103</f>
        <v>223516800</v>
      </c>
    </row>
    <row r="104" spans="1:8" ht="15.75" customHeight="1">
      <c r="A104" s="23" t="s">
        <v>23</v>
      </c>
      <c r="B104" s="18">
        <v>29</v>
      </c>
      <c r="C104" s="16">
        <f aca="true" t="shared" si="23" ref="C104:C114">B104+C103</f>
        <v>2616</v>
      </c>
      <c r="D104" s="17">
        <f t="shared" si="21"/>
        <v>42430</v>
      </c>
      <c r="E104" s="2">
        <v>2214784000000</v>
      </c>
      <c r="H104" s="4">
        <f t="shared" si="22"/>
        <v>226022400</v>
      </c>
    </row>
    <row r="105" spans="1:8" ht="15.75" customHeight="1">
      <c r="A105" s="15" t="s">
        <v>11</v>
      </c>
      <c r="B105" s="2">
        <v>31</v>
      </c>
      <c r="C105" s="16">
        <f t="shared" si="23"/>
        <v>2647</v>
      </c>
      <c r="D105" s="17">
        <f t="shared" si="21"/>
        <v>42461</v>
      </c>
      <c r="E105" s="2">
        <v>2228748000000</v>
      </c>
      <c r="H105" s="4">
        <f t="shared" si="22"/>
        <v>228700800</v>
      </c>
    </row>
    <row r="106" spans="1:8" ht="15.75" customHeight="1">
      <c r="A106" s="15" t="s">
        <v>12</v>
      </c>
      <c r="B106" s="2">
        <v>30</v>
      </c>
      <c r="C106" s="16">
        <f t="shared" si="23"/>
        <v>2677</v>
      </c>
      <c r="D106" s="17">
        <f t="shared" si="21"/>
        <v>42491</v>
      </c>
      <c r="E106" s="2">
        <v>2230861000000</v>
      </c>
      <c r="H106" s="4">
        <f t="shared" si="22"/>
        <v>231292800</v>
      </c>
    </row>
    <row r="107" spans="1:8" ht="15.75" customHeight="1">
      <c r="A107" s="15" t="s">
        <v>13</v>
      </c>
      <c r="B107" s="2">
        <v>31</v>
      </c>
      <c r="C107" s="16">
        <f t="shared" si="23"/>
        <v>2708</v>
      </c>
      <c r="D107" s="17">
        <f t="shared" si="21"/>
        <v>42522</v>
      </c>
      <c r="E107" s="2">
        <v>2243432000000</v>
      </c>
      <c r="H107" s="4">
        <f t="shared" si="22"/>
        <v>233971200</v>
      </c>
    </row>
    <row r="108" spans="1:8" ht="15.75" customHeight="1">
      <c r="A108" s="15" t="s">
        <v>14</v>
      </c>
      <c r="B108" s="2">
        <v>30</v>
      </c>
      <c r="C108" s="16">
        <f t="shared" si="23"/>
        <v>2738</v>
      </c>
      <c r="D108" s="17">
        <f t="shared" si="21"/>
        <v>42552</v>
      </c>
      <c r="E108" s="2">
        <v>2250829000000</v>
      </c>
      <c r="H108" s="4">
        <f t="shared" si="22"/>
        <v>236563200</v>
      </c>
    </row>
    <row r="109" spans="1:8" ht="15.75" customHeight="1">
      <c r="A109" s="15" t="s">
        <v>15</v>
      </c>
      <c r="B109" s="2">
        <v>31</v>
      </c>
      <c r="C109">
        <f t="shared" si="23"/>
        <v>2769</v>
      </c>
      <c r="D109" s="17">
        <f t="shared" si="21"/>
        <v>42583</v>
      </c>
      <c r="E109" s="2">
        <v>2255991000000</v>
      </c>
      <c r="H109" s="4">
        <f t="shared" si="22"/>
        <v>239241600</v>
      </c>
    </row>
    <row r="110" spans="1:8" ht="15.75" customHeight="1">
      <c r="A110" s="15" t="s">
        <v>16</v>
      </c>
      <c r="B110" s="2">
        <v>31</v>
      </c>
      <c r="C110">
        <f t="shared" si="23"/>
        <v>2800</v>
      </c>
      <c r="D110" s="17">
        <f t="shared" si="21"/>
        <v>42614</v>
      </c>
      <c r="E110" s="2">
        <v>2224708000000</v>
      </c>
      <c r="H110" s="4">
        <f t="shared" si="22"/>
        <v>241920000</v>
      </c>
    </row>
    <row r="111" spans="1:8" ht="15.75" customHeight="1">
      <c r="A111" s="15" t="s">
        <v>17</v>
      </c>
      <c r="B111" s="2">
        <v>30</v>
      </c>
      <c r="C111">
        <f t="shared" si="23"/>
        <v>2830</v>
      </c>
      <c r="D111" s="17">
        <f t="shared" si="21"/>
        <v>42644</v>
      </c>
      <c r="E111" s="2">
        <v>2213618000000</v>
      </c>
      <c r="H111" s="4">
        <f t="shared" si="22"/>
        <v>244512000</v>
      </c>
    </row>
    <row r="112" spans="1:8" ht="15.75" customHeight="1">
      <c r="A112" s="15" t="s">
        <v>18</v>
      </c>
      <c r="B112" s="2">
        <v>31</v>
      </c>
      <c r="C112">
        <f t="shared" si="23"/>
        <v>2861</v>
      </c>
      <c r="D112" s="17">
        <f t="shared" si="21"/>
        <v>42675</v>
      </c>
      <c r="E112" s="2">
        <v>2224618000000</v>
      </c>
      <c r="H112" s="4">
        <f t="shared" si="22"/>
        <v>247190400</v>
      </c>
    </row>
    <row r="113" spans="1:8" ht="15.75" customHeight="1">
      <c r="A113" s="15" t="s">
        <v>19</v>
      </c>
      <c r="B113" s="2">
        <v>30</v>
      </c>
      <c r="C113">
        <f t="shared" si="23"/>
        <v>2891</v>
      </c>
      <c r="D113" s="17">
        <f t="shared" si="21"/>
        <v>42705</v>
      </c>
      <c r="E113" s="2">
        <v>2230692000000</v>
      </c>
      <c r="H113" s="4">
        <f t="shared" si="22"/>
        <v>249782400</v>
      </c>
    </row>
    <row r="114" spans="1:8" ht="15.75" customHeight="1">
      <c r="A114" s="15" t="s">
        <v>27</v>
      </c>
      <c r="B114" s="19">
        <v>31</v>
      </c>
      <c r="C114" s="24">
        <f t="shared" si="23"/>
        <v>2922</v>
      </c>
      <c r="D114" s="21">
        <f t="shared" si="21"/>
        <v>42736</v>
      </c>
      <c r="E114" s="2">
        <v>2217695000000</v>
      </c>
      <c r="H114" s="4">
        <f t="shared" si="22"/>
        <v>252460800</v>
      </c>
    </row>
    <row r="115" spans="1:4" ht="15.75" customHeight="1">
      <c r="A115" s="15"/>
      <c r="B115" s="18"/>
      <c r="C115" s="25"/>
      <c r="D115" s="21"/>
    </row>
    <row r="116" spans="1:4" ht="15.75" customHeight="1">
      <c r="A116" s="13" t="s">
        <v>29</v>
      </c>
      <c r="B116" s="18"/>
      <c r="C116" s="25"/>
      <c r="D116" s="21"/>
    </row>
    <row r="117" spans="1:8" ht="15.75" customHeight="1">
      <c r="A117" s="15" t="s">
        <v>9</v>
      </c>
      <c r="B117" s="2">
        <v>31</v>
      </c>
      <c r="C117">
        <f>B117+C114</f>
        <v>2953</v>
      </c>
      <c r="D117" s="17">
        <f aca="true" t="shared" si="24" ref="D117:D121">D$4+C117</f>
        <v>42767</v>
      </c>
      <c r="E117" s="2">
        <v>2250837000000</v>
      </c>
      <c r="H117" s="4">
        <f aca="true" t="shared" si="25" ref="H117:H128">86400*C117</f>
        <v>255139200</v>
      </c>
    </row>
    <row r="118" spans="1:8" ht="15.75" customHeight="1">
      <c r="A118" s="15" t="s">
        <v>10</v>
      </c>
      <c r="B118" s="2">
        <v>28</v>
      </c>
      <c r="C118">
        <f aca="true" t="shared" si="26" ref="C118:C128">B118+C117</f>
        <v>2981</v>
      </c>
      <c r="D118" s="17">
        <f t="shared" si="24"/>
        <v>42795</v>
      </c>
      <c r="E118" s="2">
        <v>2240135000000</v>
      </c>
      <c r="H118" s="4">
        <f t="shared" si="25"/>
        <v>257558400</v>
      </c>
    </row>
    <row r="119" spans="1:16" ht="15.75" customHeight="1">
      <c r="A119" s="15" t="s">
        <v>11</v>
      </c>
      <c r="B119" s="2">
        <v>31</v>
      </c>
      <c r="C119">
        <f t="shared" si="26"/>
        <v>3012</v>
      </c>
      <c r="D119" s="17">
        <f t="shared" si="24"/>
        <v>42826</v>
      </c>
      <c r="E119" s="2">
        <v>2260276000000</v>
      </c>
      <c r="H119" s="4">
        <f t="shared" si="25"/>
        <v>260236800</v>
      </c>
      <c r="N119" s="26" t="s">
        <v>30</v>
      </c>
      <c r="O119" s="27"/>
      <c r="P119" s="28"/>
    </row>
    <row r="120" spans="1:8" ht="15.75" customHeight="1">
      <c r="A120" s="15" t="s">
        <v>12</v>
      </c>
      <c r="B120" s="2">
        <v>30</v>
      </c>
      <c r="C120">
        <f t="shared" si="26"/>
        <v>3042</v>
      </c>
      <c r="D120" s="17">
        <f t="shared" si="24"/>
        <v>42856</v>
      </c>
      <c r="E120" s="2">
        <v>2270977000000</v>
      </c>
      <c r="H120" s="4">
        <f t="shared" si="25"/>
        <v>262828800</v>
      </c>
    </row>
    <row r="121" spans="1:8" ht="15.75" customHeight="1">
      <c r="A121" s="15" t="s">
        <v>13</v>
      </c>
      <c r="B121" s="2">
        <v>31</v>
      </c>
      <c r="C121">
        <f t="shared" si="26"/>
        <v>3073</v>
      </c>
      <c r="D121" s="17">
        <f t="shared" si="24"/>
        <v>42887</v>
      </c>
      <c r="E121" s="2">
        <v>2279459000000</v>
      </c>
      <c r="H121" s="4">
        <f t="shared" si="25"/>
        <v>265507200</v>
      </c>
    </row>
    <row r="122" spans="1:8" ht="15.75" customHeight="1">
      <c r="A122" s="15" t="s">
        <v>14</v>
      </c>
      <c r="B122" s="2">
        <v>30</v>
      </c>
      <c r="C122">
        <f t="shared" si="26"/>
        <v>3103</v>
      </c>
      <c r="D122" s="17">
        <v>42917</v>
      </c>
      <c r="E122" s="2">
        <v>2289513000000</v>
      </c>
      <c r="H122" s="4">
        <f t="shared" si="25"/>
        <v>268099200</v>
      </c>
    </row>
    <row r="123" spans="1:8" ht="15.75" customHeight="1">
      <c r="A123" s="15" t="s">
        <v>15</v>
      </c>
      <c r="B123" s="2">
        <v>31</v>
      </c>
      <c r="C123">
        <f t="shared" si="26"/>
        <v>3134</v>
      </c>
      <c r="D123" s="17">
        <v>42948</v>
      </c>
      <c r="E123" s="2">
        <v>2308027000000</v>
      </c>
      <c r="H123" s="4">
        <f t="shared" si="25"/>
        <v>270777600</v>
      </c>
    </row>
    <row r="124" spans="1:8" ht="15.75" customHeight="1">
      <c r="A124" s="15" t="s">
        <v>16</v>
      </c>
      <c r="B124" s="2">
        <v>31</v>
      </c>
      <c r="C124">
        <f t="shared" si="26"/>
        <v>3165</v>
      </c>
      <c r="D124" s="17">
        <v>42979</v>
      </c>
      <c r="E124" s="2">
        <v>2286746000000</v>
      </c>
      <c r="H124" s="4">
        <f t="shared" si="25"/>
        <v>273456000</v>
      </c>
    </row>
    <row r="125" spans="1:8" ht="15.75" customHeight="1">
      <c r="A125" s="15" t="s">
        <v>17</v>
      </c>
      <c r="B125" s="2">
        <v>30</v>
      </c>
      <c r="C125">
        <f t="shared" si="26"/>
        <v>3195</v>
      </c>
      <c r="D125" s="17">
        <v>43009</v>
      </c>
      <c r="E125" s="2">
        <v>2291231000000</v>
      </c>
      <c r="H125" s="4">
        <f t="shared" si="25"/>
        <v>276048000</v>
      </c>
    </row>
    <row r="126" spans="1:8" ht="15.75" customHeight="1">
      <c r="A126" s="15" t="s">
        <v>18</v>
      </c>
      <c r="B126" s="2">
        <v>31</v>
      </c>
      <c r="C126">
        <f t="shared" si="26"/>
        <v>3226</v>
      </c>
      <c r="D126" s="17">
        <v>43040</v>
      </c>
      <c r="E126" s="2">
        <v>2296135000000</v>
      </c>
      <c r="H126" s="4">
        <f t="shared" si="25"/>
        <v>278726400</v>
      </c>
    </row>
    <row r="127" spans="1:8" ht="15.75" customHeight="1">
      <c r="A127" s="15" t="s">
        <v>19</v>
      </c>
      <c r="B127" s="2">
        <v>30</v>
      </c>
      <c r="C127">
        <f t="shared" si="26"/>
        <v>3256</v>
      </c>
      <c r="D127" s="17">
        <v>43070</v>
      </c>
      <c r="E127" s="2">
        <v>2281395000000</v>
      </c>
      <c r="H127" s="4">
        <f t="shared" si="25"/>
        <v>281318400</v>
      </c>
    </row>
    <row r="128" spans="1:8" ht="15.75" customHeight="1">
      <c r="A128" s="15" t="s">
        <v>20</v>
      </c>
      <c r="B128" s="19">
        <v>31</v>
      </c>
      <c r="C128" s="24">
        <f t="shared" si="26"/>
        <v>3287</v>
      </c>
      <c r="D128" s="21">
        <v>43101</v>
      </c>
      <c r="E128" s="2">
        <v>2263056000000</v>
      </c>
      <c r="G128" s="29" t="s">
        <v>31</v>
      </c>
      <c r="H128" s="4">
        <f t="shared" si="25"/>
        <v>283996800</v>
      </c>
    </row>
    <row r="129" spans="1:4" ht="15.75" customHeight="1">
      <c r="A129" s="15"/>
      <c r="B129" s="18"/>
      <c r="C129" s="25"/>
      <c r="D129" s="21"/>
    </row>
    <row r="130" spans="1:7" ht="15.75" customHeight="1">
      <c r="A130" s="13" t="s">
        <v>32</v>
      </c>
      <c r="B130" s="18"/>
      <c r="C130" s="25"/>
      <c r="D130" s="21"/>
      <c r="G130" s="30"/>
    </row>
    <row r="131" spans="1:8" ht="15.75" customHeight="1">
      <c r="A131" s="15" t="s">
        <v>9</v>
      </c>
      <c r="B131" s="2">
        <v>31</v>
      </c>
      <c r="C131">
        <f>B131+C128</f>
        <v>3318</v>
      </c>
      <c r="D131" s="17">
        <v>43132</v>
      </c>
      <c r="E131" s="31">
        <v>2292353000000</v>
      </c>
      <c r="F131" s="32"/>
      <c r="G131" s="32"/>
      <c r="H131" s="4">
        <f aca="true" t="shared" si="27" ref="H131:H142">86400*C131</f>
        <v>286675200</v>
      </c>
    </row>
    <row r="132" spans="1:8" ht="15.75" customHeight="1">
      <c r="A132" s="15" t="s">
        <v>10</v>
      </c>
      <c r="B132" s="2">
        <v>28</v>
      </c>
      <c r="C132">
        <f aca="true" t="shared" si="28" ref="C132:C142">B132+C131</f>
        <v>3346</v>
      </c>
      <c r="D132" s="33">
        <v>43160</v>
      </c>
      <c r="E132" s="34">
        <v>2293616000000</v>
      </c>
      <c r="F132" s="35" t="s">
        <v>33</v>
      </c>
      <c r="G132" s="35"/>
      <c r="H132" s="4">
        <f t="shared" si="27"/>
        <v>289094400</v>
      </c>
    </row>
    <row r="133" spans="1:8" ht="15.75" customHeight="1">
      <c r="A133" s="15" t="s">
        <v>11</v>
      </c>
      <c r="B133" s="2">
        <v>31</v>
      </c>
      <c r="C133">
        <f t="shared" si="28"/>
        <v>3377</v>
      </c>
      <c r="D133" s="33">
        <v>43191</v>
      </c>
      <c r="E133" s="34">
        <v>2309877000000</v>
      </c>
      <c r="F133" s="32" t="s">
        <v>34</v>
      </c>
      <c r="G133" s="32"/>
      <c r="H133" s="4">
        <f t="shared" si="27"/>
        <v>291772800</v>
      </c>
    </row>
    <row r="134" spans="1:8" ht="15.75" customHeight="1">
      <c r="A134" s="15" t="s">
        <v>35</v>
      </c>
      <c r="B134" s="2">
        <v>30</v>
      </c>
      <c r="C134">
        <f t="shared" si="28"/>
        <v>3407</v>
      </c>
      <c r="D134" s="33">
        <v>43221</v>
      </c>
      <c r="E134" s="34">
        <v>2320124000000</v>
      </c>
      <c r="F134" s="32" t="s">
        <v>36</v>
      </c>
      <c r="G134" s="32"/>
      <c r="H134" s="4">
        <f t="shared" si="27"/>
        <v>294364800</v>
      </c>
    </row>
    <row r="135" spans="1:8" ht="15.75" customHeight="1">
      <c r="A135" s="15" t="s">
        <v>13</v>
      </c>
      <c r="B135" s="2">
        <v>31</v>
      </c>
      <c r="C135">
        <f t="shared" si="28"/>
        <v>3438</v>
      </c>
      <c r="D135" s="33">
        <v>43252</v>
      </c>
      <c r="E135" s="34">
        <v>2334285000000</v>
      </c>
      <c r="F135" s="32" t="s">
        <v>37</v>
      </c>
      <c r="G135" s="32"/>
      <c r="H135" s="4">
        <f t="shared" si="27"/>
        <v>297043200</v>
      </c>
    </row>
    <row r="136" spans="1:8" ht="16.5" customHeight="1">
      <c r="A136" s="15" t="s">
        <v>14</v>
      </c>
      <c r="B136" s="2">
        <v>30</v>
      </c>
      <c r="C136">
        <f t="shared" si="28"/>
        <v>3468</v>
      </c>
      <c r="D136" s="33">
        <v>43282</v>
      </c>
      <c r="E136" s="34">
        <v>2330370000000</v>
      </c>
      <c r="F136" s="32" t="s">
        <v>38</v>
      </c>
      <c r="G136" s="29"/>
      <c r="H136" s="4">
        <f t="shared" si="27"/>
        <v>299635200</v>
      </c>
    </row>
    <row r="137" spans="1:8" ht="15.75" customHeight="1">
      <c r="A137" s="15" t="s">
        <v>15</v>
      </c>
      <c r="B137" s="2">
        <v>31</v>
      </c>
      <c r="C137">
        <f t="shared" si="28"/>
        <v>3499</v>
      </c>
      <c r="D137" s="33">
        <v>43313</v>
      </c>
      <c r="E137" s="34">
        <v>2349256000000</v>
      </c>
      <c r="F137" s="32" t="s">
        <v>39</v>
      </c>
      <c r="G137" s="32"/>
      <c r="H137" s="4">
        <f t="shared" si="27"/>
        <v>302313600</v>
      </c>
    </row>
    <row r="138" spans="1:8" ht="16.5" customHeight="1">
      <c r="A138" s="15" t="s">
        <v>16</v>
      </c>
      <c r="B138" s="2">
        <v>31</v>
      </c>
      <c r="C138">
        <f t="shared" si="28"/>
        <v>3530</v>
      </c>
      <c r="D138" s="17">
        <v>43344</v>
      </c>
      <c r="E138" s="34">
        <v>2333366000000</v>
      </c>
      <c r="F138" s="32" t="s">
        <v>40</v>
      </c>
      <c r="G138" s="36"/>
      <c r="H138" s="4">
        <f t="shared" si="27"/>
        <v>304992000</v>
      </c>
    </row>
    <row r="139" spans="1:8" ht="16.5" customHeight="1">
      <c r="A139" s="15" t="s">
        <v>17</v>
      </c>
      <c r="B139" s="2">
        <v>30</v>
      </c>
      <c r="C139">
        <f t="shared" si="28"/>
        <v>3560</v>
      </c>
      <c r="D139" s="17">
        <v>43374</v>
      </c>
      <c r="E139" s="34">
        <v>2338229000000</v>
      </c>
      <c r="F139" s="32" t="s">
        <v>41</v>
      </c>
      <c r="H139" s="4">
        <f t="shared" si="27"/>
        <v>307584000</v>
      </c>
    </row>
    <row r="140" spans="1:8" ht="16.5" customHeight="1">
      <c r="A140" s="15" t="s">
        <v>18</v>
      </c>
      <c r="B140" s="2">
        <v>31</v>
      </c>
      <c r="C140">
        <f t="shared" si="28"/>
        <v>3591</v>
      </c>
      <c r="D140" s="17">
        <v>43405</v>
      </c>
      <c r="E140" s="34">
        <v>2341260000000</v>
      </c>
      <c r="F140" s="32" t="s">
        <v>42</v>
      </c>
      <c r="H140" s="4">
        <f t="shared" si="27"/>
        <v>310262400</v>
      </c>
    </row>
    <row r="141" spans="1:8" ht="16.5" customHeight="1">
      <c r="A141" s="15" t="s">
        <v>19</v>
      </c>
      <c r="B141" s="2">
        <v>30</v>
      </c>
      <c r="C141">
        <f t="shared" si="28"/>
        <v>3621</v>
      </c>
      <c r="D141" s="17">
        <v>43435</v>
      </c>
      <c r="E141" s="34">
        <v>2351331000000</v>
      </c>
      <c r="F141" s="32" t="s">
        <v>43</v>
      </c>
      <c r="H141" s="4">
        <f t="shared" si="27"/>
        <v>312854400</v>
      </c>
    </row>
    <row r="142" spans="1:8" ht="16.5" customHeight="1">
      <c r="A142" s="15" t="s">
        <v>20</v>
      </c>
      <c r="B142" s="19">
        <v>31</v>
      </c>
      <c r="C142" s="24">
        <f t="shared" si="28"/>
        <v>3652</v>
      </c>
      <c r="D142" s="21">
        <v>43466</v>
      </c>
      <c r="E142" s="34">
        <v>2321957000000</v>
      </c>
      <c r="F142" s="32" t="s">
        <v>44</v>
      </c>
      <c r="G142" s="36"/>
      <c r="H142" s="4">
        <f t="shared" si="27"/>
        <v>315532800</v>
      </c>
    </row>
    <row r="143" spans="1:4" ht="15.75" customHeight="1">
      <c r="A143" s="15"/>
      <c r="D143" s="17"/>
    </row>
    <row r="144" spans="1:4" ht="15.75" customHeight="1">
      <c r="A144" s="13" t="s">
        <v>45</v>
      </c>
      <c r="D144" s="17"/>
    </row>
    <row r="145" spans="1:8" ht="15.75" customHeight="1">
      <c r="A145" s="15" t="s">
        <v>9</v>
      </c>
      <c r="B145" s="2">
        <v>31</v>
      </c>
      <c r="C145">
        <f>B145+C142</f>
        <v>3683</v>
      </c>
      <c r="D145" s="17">
        <v>43497</v>
      </c>
      <c r="E145" s="34">
        <v>2363506000000</v>
      </c>
      <c r="F145" s="32" t="s">
        <v>46</v>
      </c>
      <c r="H145" s="4">
        <f aca="true" t="shared" si="29" ref="H145:H151">86400*C145</f>
        <v>318211200</v>
      </c>
    </row>
    <row r="146" spans="1:8" ht="15.75" customHeight="1">
      <c r="A146" s="15" t="s">
        <v>10</v>
      </c>
      <c r="B146" s="2">
        <v>28</v>
      </c>
      <c r="C146">
        <f aca="true" t="shared" si="30" ref="C146:C151">B146+C145</f>
        <v>3711</v>
      </c>
      <c r="D146" s="17">
        <v>43525</v>
      </c>
      <c r="E146" s="34">
        <v>2363225000000</v>
      </c>
      <c r="F146" s="32" t="s">
        <v>47</v>
      </c>
      <c r="H146" s="4">
        <f t="shared" si="29"/>
        <v>320630400</v>
      </c>
    </row>
    <row r="147" spans="1:8" ht="15.75" customHeight="1">
      <c r="A147" s="15" t="s">
        <v>11</v>
      </c>
      <c r="B147" s="2">
        <v>31</v>
      </c>
      <c r="C147">
        <f t="shared" si="30"/>
        <v>3742</v>
      </c>
      <c r="D147" s="17">
        <v>43556</v>
      </c>
      <c r="E147" s="34">
        <v>2358538000000</v>
      </c>
      <c r="F147" s="32" t="s">
        <v>48</v>
      </c>
      <c r="H147" s="4">
        <f t="shared" si="29"/>
        <v>323308800</v>
      </c>
    </row>
    <row r="148" spans="1:8" ht="15.75" customHeight="1">
      <c r="A148" s="15" t="s">
        <v>12</v>
      </c>
      <c r="B148" s="2">
        <v>30</v>
      </c>
      <c r="C148">
        <f t="shared" si="30"/>
        <v>3772</v>
      </c>
      <c r="D148" s="17">
        <v>43586</v>
      </c>
      <c r="E148" s="34">
        <v>2373314000000</v>
      </c>
      <c r="F148" s="32" t="s">
        <v>49</v>
      </c>
      <c r="H148" s="4">
        <f t="shared" si="29"/>
        <v>325900800</v>
      </c>
    </row>
    <row r="149" spans="1:8" ht="15.75" customHeight="1">
      <c r="A149" s="15" t="s">
        <v>13</v>
      </c>
      <c r="B149" s="2">
        <v>31</v>
      </c>
      <c r="C149">
        <f t="shared" si="30"/>
        <v>3803</v>
      </c>
      <c r="D149" s="17">
        <v>43617</v>
      </c>
      <c r="E149" s="34">
        <v>2364663000000</v>
      </c>
      <c r="F149" s="32" t="s">
        <v>50</v>
      </c>
      <c r="H149" s="4">
        <f t="shared" si="29"/>
        <v>328579200</v>
      </c>
    </row>
    <row r="150" spans="1:8" ht="15.75" customHeight="1">
      <c r="A150" s="15" t="s">
        <v>14</v>
      </c>
      <c r="B150" s="2">
        <v>30</v>
      </c>
      <c r="C150">
        <f t="shared" si="30"/>
        <v>3833</v>
      </c>
      <c r="D150" s="17">
        <v>43647</v>
      </c>
      <c r="E150" s="34">
        <v>2386381000000</v>
      </c>
      <c r="F150" s="32" t="s">
        <v>51</v>
      </c>
      <c r="H150" s="4">
        <f t="shared" si="29"/>
        <v>331171200</v>
      </c>
    </row>
    <row r="151" spans="1:8" ht="15.75" customHeight="1">
      <c r="A151" s="15" t="s">
        <v>15</v>
      </c>
      <c r="B151" s="2">
        <v>31</v>
      </c>
      <c r="C151">
        <f t="shared" si="30"/>
        <v>3864</v>
      </c>
      <c r="D151" s="17">
        <v>43678</v>
      </c>
      <c r="E151" s="34">
        <v>2409910000000</v>
      </c>
      <c r="F151" s="32" t="s">
        <v>52</v>
      </c>
      <c r="H151" s="4">
        <f t="shared" si="29"/>
        <v>333849600</v>
      </c>
    </row>
    <row r="152" spans="1:6" ht="15.75" customHeight="1">
      <c r="A152" s="15"/>
      <c r="D152" s="17"/>
      <c r="E152" s="34"/>
      <c r="F152" s="32"/>
    </row>
    <row r="153" spans="1:16" ht="15.75" customHeight="1">
      <c r="A153" s="37"/>
      <c r="B153" s="38"/>
      <c r="C153" s="39"/>
      <c r="D153" s="40"/>
      <c r="E153" s="41" t="s">
        <v>53</v>
      </c>
      <c r="F153" s="41"/>
      <c r="G153" s="39"/>
      <c r="H153" s="42"/>
      <c r="I153" s="42"/>
      <c r="J153" s="42"/>
      <c r="K153" s="39"/>
      <c r="L153" s="39"/>
      <c r="M153" s="43"/>
      <c r="N153" s="44"/>
      <c r="O153" s="45"/>
      <c r="P153" s="45"/>
    </row>
    <row r="154" spans="1:6" ht="15.75" customHeight="1">
      <c r="A154" s="15"/>
      <c r="D154" s="17"/>
      <c r="E154" s="46"/>
      <c r="F154" s="32"/>
    </row>
    <row r="155" spans="1:8" ht="15.75" customHeight="1">
      <c r="A155" s="15" t="s">
        <v>16</v>
      </c>
      <c r="B155" s="2">
        <v>31</v>
      </c>
      <c r="C155">
        <f>B155+C151</f>
        <v>3895</v>
      </c>
      <c r="D155" s="17">
        <v>43709</v>
      </c>
      <c r="E155" s="34">
        <v>2462693000000</v>
      </c>
      <c r="F155" s="32" t="s">
        <v>54</v>
      </c>
      <c r="H155" s="4">
        <f aca="true" t="shared" si="31" ref="H155:H159">86400*C155</f>
        <v>336528000</v>
      </c>
    </row>
    <row r="156" spans="1:8" ht="15.75" customHeight="1">
      <c r="A156" s="15" t="s">
        <v>17</v>
      </c>
      <c r="B156" s="2">
        <v>30</v>
      </c>
      <c r="C156">
        <f aca="true" t="shared" si="32" ref="C156:C159">B156+C155</f>
        <v>3925</v>
      </c>
      <c r="D156" s="17">
        <v>43739</v>
      </c>
      <c r="E156" s="34">
        <v>2439248000000</v>
      </c>
      <c r="F156" s="32" t="s">
        <v>55</v>
      </c>
      <c r="H156" s="4">
        <f t="shared" si="31"/>
        <v>339120000</v>
      </c>
    </row>
    <row r="157" spans="1:8" ht="15.75" customHeight="1">
      <c r="A157" s="15" t="s">
        <v>18</v>
      </c>
      <c r="B157" s="2">
        <v>31</v>
      </c>
      <c r="C157">
        <f t="shared" si="32"/>
        <v>3956</v>
      </c>
      <c r="D157" s="17">
        <v>43770</v>
      </c>
      <c r="E157" s="34">
        <v>2447895000000</v>
      </c>
      <c r="F157" s="32" t="s">
        <v>56</v>
      </c>
      <c r="H157" s="4">
        <f t="shared" si="31"/>
        <v>341798400</v>
      </c>
    </row>
    <row r="158" spans="1:8" ht="15.75" customHeight="1">
      <c r="A158" s="15" t="s">
        <v>19</v>
      </c>
      <c r="B158" s="2">
        <v>30</v>
      </c>
      <c r="C158">
        <f t="shared" si="32"/>
        <v>3986</v>
      </c>
      <c r="D158" s="17">
        <v>43800</v>
      </c>
      <c r="E158" s="34">
        <v>2445894000000</v>
      </c>
      <c r="F158" s="32" t="s">
        <v>57</v>
      </c>
      <c r="H158" s="4">
        <f t="shared" si="31"/>
        <v>344390400</v>
      </c>
    </row>
    <row r="159" spans="1:8" ht="15.75" customHeight="1">
      <c r="A159" s="15" t="s">
        <v>27</v>
      </c>
      <c r="B159" s="2">
        <v>31</v>
      </c>
      <c r="C159">
        <f t="shared" si="32"/>
        <v>4017</v>
      </c>
      <c r="D159" s="17">
        <v>43831</v>
      </c>
      <c r="E159" s="34">
        <v>2409841000000</v>
      </c>
      <c r="F159" s="32" t="s">
        <v>58</v>
      </c>
      <c r="H159" s="4">
        <f t="shared" si="31"/>
        <v>347068800</v>
      </c>
    </row>
    <row r="160" spans="1:4" ht="15.75" customHeight="1">
      <c r="A160" s="15"/>
      <c r="D160" s="17"/>
    </row>
    <row r="161" spans="1:4" ht="15.75" customHeight="1">
      <c r="A161" s="13" t="s">
        <v>59</v>
      </c>
      <c r="D161" s="17"/>
    </row>
    <row r="162" spans="1:8" ht="15.75" customHeight="1">
      <c r="A162" s="15" t="s">
        <v>9</v>
      </c>
      <c r="B162" s="2">
        <v>31</v>
      </c>
      <c r="C162">
        <v>4048</v>
      </c>
      <c r="D162" s="17">
        <v>43861</v>
      </c>
      <c r="E162" s="34">
        <v>2444171000000</v>
      </c>
      <c r="F162" s="32" t="s">
        <v>60</v>
      </c>
      <c r="H162" s="4">
        <f aca="true" t="shared" si="33" ref="H162:H173">86400*C162</f>
        <v>349747200</v>
      </c>
    </row>
    <row r="163" spans="1:8" ht="15.75" customHeight="1">
      <c r="A163" s="23" t="s">
        <v>23</v>
      </c>
      <c r="B163" s="18">
        <v>29</v>
      </c>
      <c r="C163">
        <f aca="true" t="shared" si="34" ref="C163:C173">B163+C162</f>
        <v>4077</v>
      </c>
      <c r="D163" s="21" t="s">
        <v>61</v>
      </c>
      <c r="E163" s="34">
        <v>2446894000000</v>
      </c>
      <c r="F163" s="32" t="s">
        <v>62</v>
      </c>
      <c r="H163" s="4">
        <f t="shared" si="33"/>
        <v>352252800</v>
      </c>
    </row>
    <row r="164" spans="1:8" ht="15.75" customHeight="1">
      <c r="A164" s="15" t="s">
        <v>11</v>
      </c>
      <c r="B164" s="2">
        <v>31</v>
      </c>
      <c r="C164">
        <f t="shared" si="34"/>
        <v>4108</v>
      </c>
      <c r="D164" s="17">
        <v>43921</v>
      </c>
      <c r="E164" s="34">
        <v>2431079000000</v>
      </c>
      <c r="F164" s="32" t="s">
        <v>63</v>
      </c>
      <c r="H164" s="4">
        <f t="shared" si="33"/>
        <v>354931200</v>
      </c>
    </row>
    <row r="165" spans="1:8" ht="15.75" customHeight="1">
      <c r="A165" s="15" t="s">
        <v>12</v>
      </c>
      <c r="B165" s="2">
        <v>30</v>
      </c>
      <c r="C165">
        <f t="shared" si="34"/>
        <v>4138</v>
      </c>
      <c r="D165" s="17">
        <v>43951</v>
      </c>
      <c r="E165" s="34">
        <v>2469225000000</v>
      </c>
      <c r="F165" s="32" t="s">
        <v>64</v>
      </c>
      <c r="H165" s="4">
        <f t="shared" si="33"/>
        <v>357523200</v>
      </c>
    </row>
    <row r="166" spans="1:8" ht="15.75" customHeight="1">
      <c r="A166" s="15" t="s">
        <v>13</v>
      </c>
      <c r="B166" s="2">
        <v>31</v>
      </c>
      <c r="C166">
        <f t="shared" si="34"/>
        <v>4169</v>
      </c>
      <c r="D166" s="17">
        <v>43982</v>
      </c>
      <c r="E166" s="34">
        <v>2510081000000</v>
      </c>
      <c r="F166" s="32" t="s">
        <v>65</v>
      </c>
      <c r="H166" s="4">
        <f t="shared" si="33"/>
        <v>360201600</v>
      </c>
    </row>
    <row r="167" spans="1:8" ht="15.75" customHeight="1">
      <c r="A167" s="15" t="s">
        <v>14</v>
      </c>
      <c r="B167" s="2">
        <v>30</v>
      </c>
      <c r="C167">
        <f t="shared" si="34"/>
        <v>4199</v>
      </c>
      <c r="D167" s="17">
        <v>44012</v>
      </c>
      <c r="E167" s="34">
        <v>2530608000000</v>
      </c>
      <c r="F167" s="32" t="s">
        <v>66</v>
      </c>
      <c r="H167" s="4">
        <f t="shared" si="33"/>
        <v>362793600</v>
      </c>
    </row>
    <row r="168" spans="1:8" ht="15.75" customHeight="1">
      <c r="A168" s="15" t="s">
        <v>15</v>
      </c>
      <c r="B168" s="2">
        <v>31</v>
      </c>
      <c r="C168">
        <f t="shared" si="34"/>
        <v>4230</v>
      </c>
      <c r="D168" s="17">
        <v>44043</v>
      </c>
      <c r="E168" s="34">
        <v>2560896000000</v>
      </c>
      <c r="F168" s="32" t="s">
        <v>67</v>
      </c>
      <c r="H168" s="4">
        <f t="shared" si="33"/>
        <v>365472000</v>
      </c>
    </row>
    <row r="169" spans="1:8" ht="15.75" customHeight="1">
      <c r="A169" s="15" t="s">
        <v>16</v>
      </c>
      <c r="B169" s="2">
        <v>31</v>
      </c>
      <c r="C169">
        <f t="shared" si="34"/>
        <v>4261</v>
      </c>
      <c r="D169" s="17">
        <v>44074</v>
      </c>
      <c r="E169" s="34">
        <v>2578747000000</v>
      </c>
      <c r="F169" s="32" t="s">
        <v>68</v>
      </c>
      <c r="H169" s="4">
        <f t="shared" si="33"/>
        <v>368150400</v>
      </c>
    </row>
    <row r="170" spans="1:8" ht="15.75" customHeight="1">
      <c r="A170" s="15" t="s">
        <v>17</v>
      </c>
      <c r="B170" s="2">
        <v>30</v>
      </c>
      <c r="C170">
        <f t="shared" si="34"/>
        <v>4291</v>
      </c>
      <c r="D170" s="17">
        <v>44104</v>
      </c>
      <c r="E170" s="34">
        <v>2583796000000</v>
      </c>
      <c r="F170" s="32" t="s">
        <v>69</v>
      </c>
      <c r="H170" s="4">
        <f t="shared" si="33"/>
        <v>370742400</v>
      </c>
    </row>
    <row r="171" spans="1:8" ht="15.75" customHeight="1">
      <c r="A171" s="15" t="s">
        <v>18</v>
      </c>
      <c r="B171" s="2">
        <v>31</v>
      </c>
      <c r="C171">
        <f t="shared" si="34"/>
        <v>4322</v>
      </c>
      <c r="D171" s="17">
        <v>44135</v>
      </c>
      <c r="E171" s="34">
        <v>2586936000000</v>
      </c>
      <c r="F171" s="32" t="s">
        <v>70</v>
      </c>
      <c r="H171" s="4">
        <f t="shared" si="33"/>
        <v>373420800</v>
      </c>
    </row>
    <row r="172" spans="1:8" ht="15.75" customHeight="1">
      <c r="A172" s="15" t="s">
        <v>19</v>
      </c>
      <c r="B172" s="2">
        <v>30</v>
      </c>
      <c r="C172">
        <f t="shared" si="34"/>
        <v>4352</v>
      </c>
      <c r="D172" s="47">
        <v>44165</v>
      </c>
      <c r="E172" s="34">
        <v>2586400000000</v>
      </c>
      <c r="F172" s="32" t="s">
        <v>71</v>
      </c>
      <c r="H172" s="4">
        <f t="shared" si="33"/>
        <v>376012800</v>
      </c>
    </row>
    <row r="173" spans="1:8" ht="15.75" customHeight="1">
      <c r="A173" s="15" t="s">
        <v>27</v>
      </c>
      <c r="B173" s="2">
        <v>31</v>
      </c>
      <c r="C173">
        <f t="shared" si="34"/>
        <v>4383</v>
      </c>
      <c r="D173" s="17">
        <v>44196</v>
      </c>
      <c r="E173" s="34">
        <v>2573386000000</v>
      </c>
      <c r="F173" s="32" t="s">
        <v>72</v>
      </c>
      <c r="H173" s="4">
        <f t="shared" si="33"/>
        <v>378691200</v>
      </c>
    </row>
    <row r="174" spans="1:4" ht="15.75" customHeight="1">
      <c r="A174" s="15"/>
      <c r="D174" s="17"/>
    </row>
    <row r="175" spans="1:4" ht="15.75" customHeight="1">
      <c r="A175" s="13" t="s">
        <v>73</v>
      </c>
      <c r="D175" s="17"/>
    </row>
    <row r="176" spans="1:8" ht="15.75" customHeight="1">
      <c r="A176" s="15" t="s">
        <v>9</v>
      </c>
      <c r="B176" s="2">
        <v>31</v>
      </c>
      <c r="C176">
        <f>B176+C173</f>
        <v>4414</v>
      </c>
      <c r="D176" s="17">
        <v>44227</v>
      </c>
      <c r="E176" s="34">
        <v>2606994000000</v>
      </c>
      <c r="F176" s="32" t="s">
        <v>74</v>
      </c>
      <c r="H176" s="4">
        <f aca="true" t="shared" si="35" ref="H176:H187">86400*C176</f>
        <v>381369600</v>
      </c>
    </row>
    <row r="177" spans="1:8" ht="15.75" customHeight="1">
      <c r="A177" s="15" t="s">
        <v>10</v>
      </c>
      <c r="B177" s="2">
        <v>28</v>
      </c>
      <c r="C177">
        <f aca="true" t="shared" si="36" ref="C177:C187">B177+C176</f>
        <v>4442</v>
      </c>
      <c r="D177" s="17">
        <v>44255</v>
      </c>
      <c r="E177" s="34">
        <v>2644000000000</v>
      </c>
      <c r="F177" s="32" t="s">
        <v>75</v>
      </c>
      <c r="H177" s="4">
        <f t="shared" si="35"/>
        <v>383788800</v>
      </c>
    </row>
    <row r="178" spans="1:8" ht="15.75" customHeight="1">
      <c r="A178" s="15" t="s">
        <v>11</v>
      </c>
      <c r="B178" s="2">
        <v>31</v>
      </c>
      <c r="C178">
        <f t="shared" si="36"/>
        <v>4473</v>
      </c>
      <c r="D178" s="17">
        <v>44286</v>
      </c>
      <c r="E178" s="34">
        <v>2651227000000</v>
      </c>
      <c r="F178" s="32" t="s">
        <v>76</v>
      </c>
      <c r="H178" s="4">
        <f t="shared" si="35"/>
        <v>386467200</v>
      </c>
    </row>
    <row r="179" spans="1:8" ht="15.75" customHeight="1">
      <c r="A179" s="15" t="s">
        <v>12</v>
      </c>
      <c r="B179" s="2">
        <v>30</v>
      </c>
      <c r="C179">
        <f t="shared" si="36"/>
        <v>4503</v>
      </c>
      <c r="D179" s="17">
        <v>44316</v>
      </c>
      <c r="E179" s="48">
        <v>2680845000000</v>
      </c>
      <c r="F179" s="32" t="s">
        <v>77</v>
      </c>
      <c r="H179" s="4">
        <f t="shared" si="35"/>
        <v>389059200</v>
      </c>
    </row>
    <row r="180" spans="1:8" ht="15.75" customHeight="1">
      <c r="A180" s="15" t="s">
        <v>13</v>
      </c>
      <c r="B180" s="2">
        <v>31</v>
      </c>
      <c r="C180">
        <f t="shared" si="36"/>
        <v>4534</v>
      </c>
      <c r="D180" s="17">
        <v>44347</v>
      </c>
      <c r="E180" s="34">
        <v>2687057000000</v>
      </c>
      <c r="F180" s="32" t="s">
        <v>78</v>
      </c>
      <c r="H180" s="4">
        <f t="shared" si="35"/>
        <v>391737600</v>
      </c>
    </row>
    <row r="181" spans="1:8" ht="15.75" customHeight="1">
      <c r="A181" s="15" t="s">
        <v>14</v>
      </c>
      <c r="B181" s="2">
        <v>30</v>
      </c>
      <c r="C181">
        <f t="shared" si="36"/>
        <v>4564</v>
      </c>
      <c r="D181" s="17">
        <v>44377</v>
      </c>
      <c r="E181" s="34">
        <v>2696249000000</v>
      </c>
      <c r="F181" s="32" t="s">
        <v>79</v>
      </c>
      <c r="H181" s="4">
        <f t="shared" si="35"/>
        <v>394329600</v>
      </c>
    </row>
    <row r="182" spans="1:8" ht="15.75" customHeight="1">
      <c r="A182" s="15" t="s">
        <v>15</v>
      </c>
      <c r="B182" s="2">
        <v>31</v>
      </c>
      <c r="C182">
        <f t="shared" si="36"/>
        <v>4595</v>
      </c>
      <c r="D182" s="17">
        <v>44408</v>
      </c>
      <c r="E182" s="34">
        <v>2725881000000</v>
      </c>
      <c r="F182" s="32" t="s">
        <v>80</v>
      </c>
      <c r="H182" s="4">
        <f t="shared" si="35"/>
        <v>397008000</v>
      </c>
    </row>
    <row r="183" spans="1:8" ht="15.75" customHeight="1">
      <c r="A183" s="15" t="s">
        <v>16</v>
      </c>
      <c r="B183" s="2">
        <v>31</v>
      </c>
      <c r="C183">
        <f t="shared" si="36"/>
        <v>4626</v>
      </c>
      <c r="D183" s="33">
        <v>44439</v>
      </c>
      <c r="E183" s="34">
        <v>2734334000000</v>
      </c>
      <c r="F183" s="32" t="s">
        <v>81</v>
      </c>
      <c r="H183" s="4">
        <f t="shared" si="35"/>
        <v>399686400</v>
      </c>
    </row>
    <row r="184" spans="1:8" ht="15.75" customHeight="1">
      <c r="A184" s="15" t="s">
        <v>17</v>
      </c>
      <c r="B184" s="2">
        <v>30</v>
      </c>
      <c r="C184">
        <f t="shared" si="36"/>
        <v>4656</v>
      </c>
      <c r="D184" s="33">
        <v>44469</v>
      </c>
      <c r="E184" s="34">
        <v>2706434000000</v>
      </c>
      <c r="F184" s="32" t="s">
        <v>82</v>
      </c>
      <c r="H184" s="4">
        <f t="shared" si="35"/>
        <v>402278400</v>
      </c>
    </row>
    <row r="185" spans="1:8" ht="15.75" customHeight="1">
      <c r="A185" s="15" t="s">
        <v>18</v>
      </c>
      <c r="B185" s="2">
        <v>31</v>
      </c>
      <c r="C185">
        <f t="shared" si="36"/>
        <v>4687</v>
      </c>
      <c r="D185" s="33">
        <v>44500</v>
      </c>
      <c r="E185" s="31">
        <v>2710270000000</v>
      </c>
      <c r="F185" s="32" t="s">
        <v>83</v>
      </c>
      <c r="H185" s="4">
        <f t="shared" si="35"/>
        <v>404956800</v>
      </c>
    </row>
    <row r="186" spans="1:8" ht="15.75" customHeight="1">
      <c r="A186" s="15" t="s">
        <v>19</v>
      </c>
      <c r="B186" s="2">
        <v>30</v>
      </c>
      <c r="C186">
        <f t="shared" si="36"/>
        <v>4717</v>
      </c>
      <c r="D186" s="47">
        <v>44530</v>
      </c>
      <c r="E186" s="31">
        <v>2694880000000</v>
      </c>
      <c r="F186" t="s">
        <v>84</v>
      </c>
      <c r="H186" s="4">
        <f t="shared" si="35"/>
        <v>407548800</v>
      </c>
    </row>
    <row r="187" spans="1:9" ht="15.75" customHeight="1">
      <c r="A187" s="15" t="s">
        <v>27</v>
      </c>
      <c r="B187" s="2">
        <v>31</v>
      </c>
      <c r="C187">
        <f t="shared" si="36"/>
        <v>4748</v>
      </c>
      <c r="D187" s="33">
        <v>44561</v>
      </c>
      <c r="E187" s="34">
        <v>2677910000000</v>
      </c>
      <c r="F187" s="32" t="s">
        <v>85</v>
      </c>
      <c r="H187" s="4">
        <f t="shared" si="35"/>
        <v>410227200</v>
      </c>
      <c r="I187" s="4" t="s">
        <v>86</v>
      </c>
    </row>
    <row r="188" spans="1:8" ht="15.75" customHeight="1">
      <c r="A188" s="15"/>
      <c r="D188" s="33"/>
      <c r="E188" s="49"/>
      <c r="F188" s="50"/>
      <c r="H188" s="51" t="s">
        <v>87</v>
      </c>
    </row>
    <row r="189" spans="1:6" ht="15.75" customHeight="1">
      <c r="A189" s="13" t="s">
        <v>88</v>
      </c>
      <c r="D189" s="33"/>
      <c r="E189" s="49"/>
      <c r="F189" s="50"/>
    </row>
    <row r="190" spans="1:8" ht="15.75" customHeight="1">
      <c r="A190" s="52" t="s">
        <v>89</v>
      </c>
      <c r="B190" s="52"/>
      <c r="C190" s="52"/>
      <c r="D190" s="52"/>
      <c r="E190" s="49"/>
      <c r="F190" s="50"/>
      <c r="H190" s="4">
        <f>H187+1</f>
        <v>410227201</v>
      </c>
    </row>
    <row r="191" spans="1:8" ht="15.75" customHeight="1">
      <c r="A191" s="15" t="s">
        <v>9</v>
      </c>
      <c r="B191" s="2">
        <v>31</v>
      </c>
      <c r="C191">
        <f>B191+C187</f>
        <v>4779</v>
      </c>
      <c r="D191" s="33">
        <v>44592</v>
      </c>
      <c r="E191" s="34">
        <v>2714227000000</v>
      </c>
      <c r="F191" s="32" t="s">
        <v>90</v>
      </c>
      <c r="H191" s="4">
        <f aca="true" t="shared" si="37" ref="H191:H202">86400*C191</f>
        <v>412905600</v>
      </c>
    </row>
    <row r="192" spans="1:8" ht="15.75" customHeight="1">
      <c r="A192" s="15" t="s">
        <v>10</v>
      </c>
      <c r="B192" s="2">
        <v>28</v>
      </c>
      <c r="C192">
        <f aca="true" t="shared" si="38" ref="C192:C202">B192+C191</f>
        <v>4807</v>
      </c>
      <c r="D192" s="17">
        <v>44620</v>
      </c>
      <c r="E192" s="34">
        <v>2736507000000</v>
      </c>
      <c r="F192" s="32" t="s">
        <v>91</v>
      </c>
      <c r="H192" s="4">
        <f t="shared" si="37"/>
        <v>415324800</v>
      </c>
    </row>
    <row r="193" spans="1:8" ht="15.75" customHeight="1">
      <c r="A193" s="15" t="s">
        <v>11</v>
      </c>
      <c r="B193" s="2">
        <v>31</v>
      </c>
      <c r="C193">
        <f t="shared" si="38"/>
        <v>4838</v>
      </c>
      <c r="D193" s="17">
        <v>44651</v>
      </c>
      <c r="E193" s="34">
        <v>2755390000000</v>
      </c>
      <c r="F193" s="32" t="s">
        <v>92</v>
      </c>
      <c r="H193" s="4">
        <f t="shared" si="37"/>
        <v>418003200</v>
      </c>
    </row>
    <row r="194" spans="1:8" ht="15.75" customHeight="1">
      <c r="A194" s="15" t="s">
        <v>12</v>
      </c>
      <c r="B194" s="2">
        <v>30</v>
      </c>
      <c r="C194">
        <f t="shared" si="38"/>
        <v>4868</v>
      </c>
      <c r="D194" s="17">
        <v>44681</v>
      </c>
      <c r="E194" s="34">
        <v>2758881000000</v>
      </c>
      <c r="F194" s="53" t="s">
        <v>93</v>
      </c>
      <c r="H194" s="4">
        <f t="shared" si="37"/>
        <v>420595200</v>
      </c>
    </row>
    <row r="195" spans="1:8" ht="15.75" customHeight="1">
      <c r="A195" s="15" t="s">
        <v>13</v>
      </c>
      <c r="B195" s="2">
        <v>31</v>
      </c>
      <c r="C195">
        <f t="shared" si="38"/>
        <v>4899</v>
      </c>
      <c r="D195" s="17">
        <v>44712</v>
      </c>
      <c r="E195" s="31">
        <v>2755180000000</v>
      </c>
      <c r="F195" s="53" t="s">
        <v>94</v>
      </c>
      <c r="H195" s="54">
        <f t="shared" si="37"/>
        <v>423273600</v>
      </c>
    </row>
    <row r="196" spans="1:8" ht="15.75" customHeight="1">
      <c r="A196" s="15" t="s">
        <v>14</v>
      </c>
      <c r="B196" s="2">
        <v>30</v>
      </c>
      <c r="C196">
        <f t="shared" si="38"/>
        <v>4929</v>
      </c>
      <c r="D196" s="17">
        <v>44742</v>
      </c>
      <c r="E196" s="34">
        <v>2767964000000</v>
      </c>
      <c r="F196" s="53" t="s">
        <v>95</v>
      </c>
      <c r="H196" s="4">
        <f t="shared" si="37"/>
        <v>425865600</v>
      </c>
    </row>
    <row r="197" spans="1:8" ht="15.75" customHeight="1">
      <c r="A197" s="15" t="s">
        <v>15</v>
      </c>
      <c r="B197" s="2">
        <v>31</v>
      </c>
      <c r="C197">
        <f t="shared" si="38"/>
        <v>4960</v>
      </c>
      <c r="D197" s="17">
        <v>44773</v>
      </c>
      <c r="E197" s="31">
        <v>2770558000000</v>
      </c>
      <c r="F197" s="53" t="s">
        <v>96</v>
      </c>
      <c r="H197" s="4">
        <f t="shared" si="37"/>
        <v>428544000</v>
      </c>
    </row>
    <row r="198" spans="1:8" ht="15.75" customHeight="1">
      <c r="A198" s="15" t="s">
        <v>16</v>
      </c>
      <c r="B198" s="2">
        <v>31</v>
      </c>
      <c r="C198">
        <f t="shared" si="38"/>
        <v>4991</v>
      </c>
      <c r="D198" s="17">
        <v>44804</v>
      </c>
      <c r="E198" s="31">
        <v>2757817000000</v>
      </c>
      <c r="F198" s="53" t="s">
        <v>97</v>
      </c>
      <c r="H198" s="4">
        <f t="shared" si="37"/>
        <v>431222400</v>
      </c>
    </row>
    <row r="199" spans="1:8" ht="15.75" customHeight="1">
      <c r="A199" s="15" t="s">
        <v>17</v>
      </c>
      <c r="B199" s="2">
        <v>30</v>
      </c>
      <c r="C199">
        <f t="shared" si="38"/>
        <v>5021</v>
      </c>
      <c r="D199" s="17">
        <v>44834</v>
      </c>
      <c r="E199" s="34">
        <v>2743111000000</v>
      </c>
      <c r="F199" s="53" t="s">
        <v>98</v>
      </c>
      <c r="H199" s="4">
        <f t="shared" si="37"/>
        <v>433814400</v>
      </c>
    </row>
    <row r="200" spans="1:8" ht="15.75" customHeight="1">
      <c r="A200" s="15" t="s">
        <v>18</v>
      </c>
      <c r="B200" s="2">
        <v>31</v>
      </c>
      <c r="C200">
        <f t="shared" si="38"/>
        <v>5052</v>
      </c>
      <c r="D200" s="17">
        <v>44865</v>
      </c>
      <c r="E200" s="31">
        <v>2771315000000</v>
      </c>
      <c r="F200" s="53" t="s">
        <v>99</v>
      </c>
      <c r="H200" s="4">
        <f t="shared" si="37"/>
        <v>436492800</v>
      </c>
    </row>
    <row r="201" spans="1:8" ht="15.75" customHeight="1">
      <c r="A201" s="15" t="s">
        <v>19</v>
      </c>
      <c r="B201" s="2">
        <v>30</v>
      </c>
      <c r="C201">
        <f t="shared" si="38"/>
        <v>5082</v>
      </c>
      <c r="D201" s="17">
        <v>44895</v>
      </c>
      <c r="E201" s="31">
        <v>2765384000000</v>
      </c>
      <c r="F201" s="53" t="s">
        <v>100</v>
      </c>
      <c r="H201" s="4">
        <f t="shared" si="37"/>
        <v>439084800</v>
      </c>
    </row>
    <row r="202" spans="1:8" ht="15.75" customHeight="1">
      <c r="A202" s="15" t="s">
        <v>20</v>
      </c>
      <c r="B202" s="2">
        <v>31</v>
      </c>
      <c r="C202">
        <f t="shared" si="38"/>
        <v>5113</v>
      </c>
      <c r="D202" s="17">
        <v>44926</v>
      </c>
      <c r="E202" s="34">
        <v>2757547000000</v>
      </c>
      <c r="F202" s="53" t="s">
        <v>101</v>
      </c>
      <c r="H202" s="4">
        <f t="shared" si="37"/>
        <v>441763200</v>
      </c>
    </row>
    <row r="203" spans="1:8" ht="15.75" customHeight="1">
      <c r="A203" s="15"/>
      <c r="D203" s="33"/>
      <c r="E203" s="49"/>
      <c r="F203" s="50"/>
      <c r="H203" s="51" t="s">
        <v>87</v>
      </c>
    </row>
    <row r="204" spans="1:6" ht="15.75" customHeight="1">
      <c r="A204" s="13" t="s">
        <v>102</v>
      </c>
      <c r="D204" s="33"/>
      <c r="E204" s="49"/>
      <c r="F204" s="50"/>
    </row>
    <row r="205" spans="1:8" ht="15.75" customHeight="1">
      <c r="A205" s="52" t="s">
        <v>103</v>
      </c>
      <c r="B205" s="52"/>
      <c r="C205" s="52"/>
      <c r="D205" s="52"/>
      <c r="E205" s="49"/>
      <c r="F205" s="50"/>
      <c r="H205" s="4">
        <f>H202+1</f>
        <v>441763201</v>
      </c>
    </row>
    <row r="206" spans="1:8" ht="15.75" customHeight="1">
      <c r="A206" s="15" t="s">
        <v>9</v>
      </c>
      <c r="B206" s="2">
        <v>31</v>
      </c>
      <c r="C206" s="16">
        <f>B206+C202</f>
        <v>5144</v>
      </c>
      <c r="D206" s="33">
        <v>44957</v>
      </c>
      <c r="E206" s="34">
        <v>2737192000000</v>
      </c>
      <c r="F206" s="53" t="s">
        <v>104</v>
      </c>
      <c r="H206" s="4">
        <f aca="true" t="shared" si="39" ref="H206:H217">86400*C206</f>
        <v>444441600</v>
      </c>
    </row>
    <row r="207" spans="1:8" ht="15.75" customHeight="1">
      <c r="A207" s="15" t="s">
        <v>10</v>
      </c>
      <c r="B207" s="2">
        <v>28</v>
      </c>
      <c r="C207">
        <f aca="true" t="shared" si="40" ref="C207:C217">B207+C206</f>
        <v>5172</v>
      </c>
      <c r="D207" s="17">
        <v>44985</v>
      </c>
      <c r="E207" s="34">
        <v>2772690000000</v>
      </c>
      <c r="F207" s="53" t="s">
        <v>105</v>
      </c>
      <c r="H207" s="4">
        <f t="shared" si="39"/>
        <v>446860800</v>
      </c>
    </row>
    <row r="208" spans="1:8" ht="15.75" customHeight="1">
      <c r="A208" s="15" t="s">
        <v>11</v>
      </c>
      <c r="B208" s="2">
        <v>31</v>
      </c>
      <c r="C208">
        <f t="shared" si="40"/>
        <v>5203</v>
      </c>
      <c r="D208" s="17">
        <v>45016</v>
      </c>
      <c r="E208" s="34">
        <v>2790547000000</v>
      </c>
      <c r="F208" s="53" t="s">
        <v>106</v>
      </c>
      <c r="H208" s="4">
        <f t="shared" si="39"/>
        <v>449539200</v>
      </c>
    </row>
    <row r="209" spans="1:8" ht="15.75" customHeight="1">
      <c r="A209" s="15" t="s">
        <v>12</v>
      </c>
      <c r="B209" s="2">
        <v>30</v>
      </c>
      <c r="C209">
        <f t="shared" si="40"/>
        <v>5233</v>
      </c>
      <c r="D209" s="17">
        <v>45046</v>
      </c>
      <c r="E209" s="34">
        <v>2813518000000</v>
      </c>
      <c r="F209" s="53" t="s">
        <v>107</v>
      </c>
      <c r="H209" s="4">
        <f t="shared" si="39"/>
        <v>452131200</v>
      </c>
    </row>
    <row r="210" spans="1:8" ht="15.75" customHeight="1">
      <c r="A210" s="15" t="s">
        <v>13</v>
      </c>
      <c r="B210" s="2">
        <v>31</v>
      </c>
      <c r="C210">
        <f t="shared" si="40"/>
        <v>5264</v>
      </c>
      <c r="D210" s="17">
        <v>45077</v>
      </c>
      <c r="E210" s="31">
        <v>2811825500000</v>
      </c>
      <c r="F210" s="53" t="s">
        <v>108</v>
      </c>
      <c r="H210" s="54">
        <f t="shared" si="39"/>
        <v>454809600</v>
      </c>
    </row>
    <row r="211" spans="1:8" ht="15.75" customHeight="1">
      <c r="A211" s="15" t="s">
        <v>14</v>
      </c>
      <c r="B211" s="2">
        <v>30</v>
      </c>
      <c r="C211">
        <f t="shared" si="40"/>
        <v>5294</v>
      </c>
      <c r="D211" s="17">
        <v>45107</v>
      </c>
      <c r="E211" s="34">
        <v>2848658000000</v>
      </c>
      <c r="F211" s="53" t="s">
        <v>109</v>
      </c>
      <c r="H211" s="4">
        <f t="shared" si="39"/>
        <v>457401600</v>
      </c>
    </row>
    <row r="212" spans="1:8" ht="15.75" customHeight="1">
      <c r="A212" s="15" t="s">
        <v>15</v>
      </c>
      <c r="B212" s="2">
        <v>31</v>
      </c>
      <c r="C212">
        <f t="shared" si="40"/>
        <v>5325</v>
      </c>
      <c r="D212" s="17">
        <v>45138</v>
      </c>
      <c r="E212" s="31">
        <v>2858698000000</v>
      </c>
      <c r="F212" s="53" t="s">
        <v>110</v>
      </c>
      <c r="H212" s="4">
        <f t="shared" si="39"/>
        <v>460080000</v>
      </c>
    </row>
    <row r="213" spans="1:8" ht="15.75" customHeight="1">
      <c r="A213" s="15" t="s">
        <v>16</v>
      </c>
      <c r="B213" s="2">
        <v>31</v>
      </c>
      <c r="C213">
        <f t="shared" si="40"/>
        <v>5356</v>
      </c>
      <c r="D213" s="17">
        <v>45169</v>
      </c>
      <c r="E213" s="31">
        <v>2840352000000</v>
      </c>
      <c r="F213" s="53" t="s">
        <v>111</v>
      </c>
      <c r="H213" s="4">
        <f t="shared" si="39"/>
        <v>462758400</v>
      </c>
    </row>
    <row r="214" spans="1:8" ht="15.75" customHeight="1">
      <c r="A214" s="15" t="s">
        <v>17</v>
      </c>
      <c r="B214" s="2">
        <v>30</v>
      </c>
      <c r="C214">
        <f t="shared" si="40"/>
        <v>5386</v>
      </c>
      <c r="D214" s="17">
        <v>45199</v>
      </c>
      <c r="E214" s="34">
        <v>2844184000000</v>
      </c>
      <c r="F214" s="53" t="s">
        <v>112</v>
      </c>
      <c r="H214" s="4">
        <f t="shared" si="39"/>
        <v>465350400</v>
      </c>
    </row>
    <row r="215" spans="1:8" ht="15.75" customHeight="1">
      <c r="A215" s="15" t="s">
        <v>18</v>
      </c>
      <c r="B215" s="2">
        <v>31</v>
      </c>
      <c r="C215">
        <f t="shared" si="40"/>
        <v>5417</v>
      </c>
      <c r="D215" s="17">
        <v>45230</v>
      </c>
      <c r="E215" s="31">
        <v>2867385000000</v>
      </c>
      <c r="F215" s="53" t="s">
        <v>113</v>
      </c>
      <c r="H215" s="4">
        <f t="shared" si="39"/>
        <v>468028800</v>
      </c>
    </row>
    <row r="216" spans="1:8" ht="15.75" customHeight="1">
      <c r="A216" s="15" t="s">
        <v>19</v>
      </c>
      <c r="B216" s="2">
        <v>30</v>
      </c>
      <c r="C216">
        <f t="shared" si="40"/>
        <v>5447</v>
      </c>
      <c r="D216" s="17">
        <v>45260</v>
      </c>
      <c r="E216" s="31">
        <v>2855042000000</v>
      </c>
      <c r="F216" s="53" t="s">
        <v>114</v>
      </c>
      <c r="H216" s="4">
        <f t="shared" si="39"/>
        <v>470620800</v>
      </c>
    </row>
    <row r="217" spans="1:8" ht="15.75" customHeight="1">
      <c r="A217" s="15" t="s">
        <v>20</v>
      </c>
      <c r="B217" s="2">
        <v>31</v>
      </c>
      <c r="C217">
        <f t="shared" si="40"/>
        <v>5478</v>
      </c>
      <c r="D217" s="17">
        <v>45291</v>
      </c>
      <c r="E217" s="34">
        <v>2862809000000</v>
      </c>
      <c r="F217" s="53" t="s">
        <v>115</v>
      </c>
      <c r="H217" s="4">
        <f t="shared" si="39"/>
        <v>473299200</v>
      </c>
    </row>
    <row r="218" spans="1:8" ht="15.75" customHeight="1">
      <c r="A218" s="15"/>
      <c r="D218" s="17"/>
      <c r="E218" s="49"/>
      <c r="F218" s="50"/>
      <c r="H218" s="4" t="s">
        <v>87</v>
      </c>
    </row>
    <row r="219" spans="1:6" ht="15.75" customHeight="1">
      <c r="A219" s="13" t="s">
        <v>116</v>
      </c>
      <c r="D219" s="33"/>
      <c r="E219" s="49"/>
      <c r="F219" s="50"/>
    </row>
    <row r="220" spans="1:8" ht="15.75" customHeight="1">
      <c r="A220" s="52" t="s">
        <v>117</v>
      </c>
      <c r="B220" s="52"/>
      <c r="C220" s="52"/>
      <c r="D220" s="52"/>
      <c r="E220" s="49"/>
      <c r="F220" s="50"/>
      <c r="H220" s="4">
        <f>H217+1</f>
        <v>473299201</v>
      </c>
    </row>
    <row r="221" spans="1:8" ht="15.75" customHeight="1">
      <c r="A221" s="15" t="s">
        <v>9</v>
      </c>
      <c r="B221" s="2">
        <v>31</v>
      </c>
      <c r="C221">
        <f>B221+C217</f>
        <v>5509</v>
      </c>
      <c r="D221" s="33">
        <v>45322</v>
      </c>
      <c r="E221" s="34">
        <v>2848712000000</v>
      </c>
      <c r="F221" s="53" t="s">
        <v>118</v>
      </c>
      <c r="H221" s="4">
        <f aca="true" t="shared" si="41" ref="H221:H232">86400*C221</f>
        <v>475977600</v>
      </c>
    </row>
    <row r="222" spans="1:8" ht="15.75" customHeight="1">
      <c r="A222" s="23" t="s">
        <v>23</v>
      </c>
      <c r="B222" s="18">
        <v>29</v>
      </c>
      <c r="C222">
        <f aca="true" t="shared" si="42" ref="C222:C232">B222+C221</f>
        <v>5538</v>
      </c>
      <c r="D222" s="55" t="s">
        <v>119</v>
      </c>
      <c r="E222" s="49">
        <v>2876000000000</v>
      </c>
      <c r="F222" s="50" t="s">
        <v>120</v>
      </c>
      <c r="H222" s="4">
        <f t="shared" si="41"/>
        <v>478483200</v>
      </c>
    </row>
    <row r="223" spans="1:8" ht="15.75" customHeight="1">
      <c r="A223" s="15" t="s">
        <v>11</v>
      </c>
      <c r="B223" s="2">
        <v>31</v>
      </c>
      <c r="C223">
        <f t="shared" si="42"/>
        <v>5569</v>
      </c>
      <c r="D223" s="33">
        <v>45382</v>
      </c>
      <c r="E223" s="49">
        <v>2898000000000</v>
      </c>
      <c r="F223" s="50" t="s">
        <v>121</v>
      </c>
      <c r="H223" s="4">
        <f t="shared" si="41"/>
        <v>481161600</v>
      </c>
    </row>
    <row r="224" spans="1:8" ht="15.75" customHeight="1">
      <c r="A224" s="15" t="s">
        <v>12</v>
      </c>
      <c r="B224" s="2">
        <v>30</v>
      </c>
      <c r="C224">
        <f t="shared" si="42"/>
        <v>5599</v>
      </c>
      <c r="D224" s="33">
        <v>45412</v>
      </c>
      <c r="E224" s="49"/>
      <c r="F224" s="50"/>
      <c r="H224" s="4">
        <f t="shared" si="41"/>
        <v>483753600</v>
      </c>
    </row>
    <row r="225" spans="1:8" ht="15.75" customHeight="1">
      <c r="A225" s="15" t="s">
        <v>13</v>
      </c>
      <c r="B225" s="2">
        <v>31</v>
      </c>
      <c r="C225">
        <f t="shared" si="42"/>
        <v>5630</v>
      </c>
      <c r="D225" s="33">
        <v>45443</v>
      </c>
      <c r="E225" s="49"/>
      <c r="F225" s="50"/>
      <c r="H225" s="4">
        <f t="shared" si="41"/>
        <v>486432000</v>
      </c>
    </row>
    <row r="226" spans="1:8" ht="15.75" customHeight="1">
      <c r="A226" s="15" t="s">
        <v>14</v>
      </c>
      <c r="B226" s="2">
        <v>30</v>
      </c>
      <c r="C226">
        <f t="shared" si="42"/>
        <v>5660</v>
      </c>
      <c r="D226" s="33">
        <v>45473</v>
      </c>
      <c r="E226" s="49">
        <v>2942500000000</v>
      </c>
      <c r="F226" s="50" t="s">
        <v>122</v>
      </c>
      <c r="H226" s="4">
        <f t="shared" si="41"/>
        <v>489024000</v>
      </c>
    </row>
    <row r="227" spans="1:8" ht="15.75" customHeight="1">
      <c r="A227" s="15" t="s">
        <v>15</v>
      </c>
      <c r="B227" s="2">
        <v>31</v>
      </c>
      <c r="C227">
        <f t="shared" si="42"/>
        <v>5691</v>
      </c>
      <c r="D227" s="33">
        <v>45504</v>
      </c>
      <c r="E227" s="49"/>
      <c r="F227" s="50"/>
      <c r="H227" s="4">
        <f t="shared" si="41"/>
        <v>491702400</v>
      </c>
    </row>
    <row r="228" spans="1:8" ht="15.75" customHeight="1">
      <c r="A228" s="15" t="s">
        <v>16</v>
      </c>
      <c r="B228" s="2">
        <v>31</v>
      </c>
      <c r="C228">
        <f t="shared" si="42"/>
        <v>5722</v>
      </c>
      <c r="D228" s="33">
        <v>45535</v>
      </c>
      <c r="E228" s="49"/>
      <c r="F228" s="50"/>
      <c r="H228" s="4">
        <f t="shared" si="41"/>
        <v>494380800</v>
      </c>
    </row>
    <row r="229" spans="1:8" ht="15.75" customHeight="1">
      <c r="A229" s="15" t="s">
        <v>17</v>
      </c>
      <c r="B229" s="2">
        <v>30</v>
      </c>
      <c r="C229">
        <f t="shared" si="42"/>
        <v>5752</v>
      </c>
      <c r="D229" s="33">
        <v>45565</v>
      </c>
      <c r="E229" s="49"/>
      <c r="F229" s="50"/>
      <c r="H229" s="4">
        <f t="shared" si="41"/>
        <v>496972800</v>
      </c>
    </row>
    <row r="230" spans="1:8" ht="15.75" customHeight="1">
      <c r="A230" s="15" t="s">
        <v>18</v>
      </c>
      <c r="B230" s="2">
        <v>31</v>
      </c>
      <c r="C230">
        <f t="shared" si="42"/>
        <v>5783</v>
      </c>
      <c r="D230" s="33">
        <v>45596</v>
      </c>
      <c r="E230" s="49"/>
      <c r="F230" s="50"/>
      <c r="H230" s="4">
        <f t="shared" si="41"/>
        <v>499651200</v>
      </c>
    </row>
    <row r="231" spans="1:8" ht="15.75" customHeight="1">
      <c r="A231" s="15" t="s">
        <v>19</v>
      </c>
      <c r="B231" s="2">
        <v>30</v>
      </c>
      <c r="C231">
        <f t="shared" si="42"/>
        <v>5813</v>
      </c>
      <c r="D231" s="33">
        <v>45626</v>
      </c>
      <c r="E231" s="49"/>
      <c r="F231" s="50"/>
      <c r="H231" s="4">
        <f t="shared" si="41"/>
        <v>502243200</v>
      </c>
    </row>
    <row r="232" spans="1:8" ht="15.75" customHeight="1">
      <c r="A232" s="15" t="s">
        <v>27</v>
      </c>
      <c r="B232" s="2">
        <v>31</v>
      </c>
      <c r="C232">
        <f t="shared" si="42"/>
        <v>5844</v>
      </c>
      <c r="D232" s="33">
        <v>45657</v>
      </c>
      <c r="E232" s="49"/>
      <c r="F232" s="50"/>
      <c r="H232" s="4">
        <f t="shared" si="41"/>
        <v>504921600</v>
      </c>
    </row>
    <row r="233" spans="1:6" ht="15.75" customHeight="1">
      <c r="A233" s="13"/>
      <c r="D233" s="33"/>
      <c r="E233" s="49"/>
      <c r="F233" s="50"/>
    </row>
    <row r="234" spans="1:6" ht="15.75" customHeight="1">
      <c r="A234" s="13"/>
      <c r="D234" s="33"/>
      <c r="E234" s="49"/>
      <c r="F234" s="50"/>
    </row>
    <row r="235" spans="4:13" ht="15.75" customHeight="1">
      <c r="D235" s="56" t="s">
        <v>123</v>
      </c>
      <c r="E235" s="22">
        <f>(E223-E226)/(H223-H226)</f>
        <v>5659.84940984941</v>
      </c>
      <c r="G235" s="57">
        <f>-E235</f>
        <v>-5659.84940984941</v>
      </c>
      <c r="H235" s="22"/>
      <c r="I235" s="22"/>
      <c r="J235" s="22"/>
      <c r="K235" s="58"/>
      <c r="L235" s="58"/>
      <c r="M235" s="59"/>
    </row>
    <row r="236" spans="4:12" ht="15.75" customHeight="1">
      <c r="D236" s="56" t="s">
        <v>124</v>
      </c>
      <c r="E236" s="22">
        <f>(-1*E235)*H226</f>
        <v>-2767802197802.1978</v>
      </c>
      <c r="F236" s="60" t="s">
        <v>125</v>
      </c>
      <c r="G236" s="61">
        <f>-1*E236</f>
        <v>2767802197802.1978</v>
      </c>
      <c r="H236" s="22"/>
      <c r="I236" s="22"/>
      <c r="J236" s="22"/>
      <c r="K236" s="58"/>
      <c r="L236" s="58"/>
    </row>
    <row r="237" spans="4:10" ht="15.75" customHeight="1">
      <c r="D237" s="56" t="s">
        <v>126</v>
      </c>
      <c r="E237" s="2">
        <f>E235*H226+E236</f>
        <v>0</v>
      </c>
      <c r="F237" s="4"/>
      <c r="H237" s="2"/>
      <c r="I237" s="2"/>
      <c r="J237" s="2"/>
    </row>
    <row r="238" spans="4:10" ht="15.75" customHeight="1">
      <c r="D238" s="56"/>
      <c r="H238" s="2"/>
      <c r="I238" s="2"/>
      <c r="J238" s="2"/>
    </row>
    <row r="239" spans="4:10" ht="15.75" customHeight="1">
      <c r="D239" s="56" t="s">
        <v>127</v>
      </c>
      <c r="E239" s="22">
        <f>(M3404-M407)/(H223-H226)</f>
        <v>2660.3025777777775</v>
      </c>
      <c r="H239" s="2"/>
      <c r="I239" s="2"/>
      <c r="J239" s="2"/>
    </row>
    <row r="240" spans="4:10" ht="15.75" customHeight="1">
      <c r="D240" s="56" t="s">
        <v>128</v>
      </c>
      <c r="E240" s="22">
        <f>(-1*E239)*H226</f>
        <v>-1300951807795.2</v>
      </c>
      <c r="F240" s="60" t="s">
        <v>129</v>
      </c>
      <c r="H240" s="2"/>
      <c r="I240" s="2"/>
      <c r="J240" s="2"/>
    </row>
    <row r="241" spans="4:10" ht="15.75" customHeight="1">
      <c r="D241" s="56" t="s">
        <v>130</v>
      </c>
      <c r="E241" s="2">
        <f>E239*H226+E240</f>
        <v>0</v>
      </c>
      <c r="H241" s="2"/>
      <c r="I241" s="2"/>
      <c r="J241" s="2"/>
    </row>
    <row r="242" spans="4:10" ht="15.75" customHeight="1">
      <c r="D242" s="56"/>
      <c r="H242" s="2"/>
      <c r="I242" s="2"/>
      <c r="J242" s="2"/>
    </row>
    <row r="243" spans="4:10" ht="15.75" customHeight="1">
      <c r="D243" s="56"/>
      <c r="H243" s="2"/>
      <c r="I243" s="2"/>
      <c r="J243" s="2"/>
    </row>
    <row r="244" spans="4:13" ht="15.75" customHeight="1">
      <c r="D244" s="56" t="s">
        <v>131</v>
      </c>
      <c r="E244" s="62">
        <f>(G398-G416)/(H217-H232)</f>
        <v>1.1282420508150734E-07</v>
      </c>
      <c r="F244" s="51"/>
      <c r="G244" s="63"/>
      <c r="H244" s="2"/>
      <c r="I244" s="2"/>
      <c r="J244" s="2"/>
      <c r="K244" s="58"/>
      <c r="L244" s="58"/>
      <c r="M244" s="64"/>
    </row>
    <row r="245" spans="4:13" ht="15.75" customHeight="1">
      <c r="D245" s="56" t="s">
        <v>132</v>
      </c>
      <c r="E245" s="65">
        <f>(-1*E244)*H232</f>
        <v>-56.967378148482815</v>
      </c>
      <c r="F245" s="4" t="s">
        <v>133</v>
      </c>
      <c r="G245" s="66"/>
      <c r="H245" s="2"/>
      <c r="I245" s="2"/>
      <c r="J245" s="2"/>
      <c r="K245" s="58"/>
      <c r="L245" s="58"/>
      <c r="M245" s="64"/>
    </row>
    <row r="246" spans="4:10" ht="15.75" customHeight="1">
      <c r="D246" s="56" t="s">
        <v>134</v>
      </c>
      <c r="E246" s="2">
        <f>E244*H232+E245</f>
        <v>0</v>
      </c>
      <c r="F246" s="4"/>
      <c r="H246" s="2"/>
      <c r="I246" s="2"/>
      <c r="J246" s="2"/>
    </row>
    <row r="247" spans="4:10" ht="15.75" customHeight="1">
      <c r="D247" s="56"/>
      <c r="H247" s="2"/>
      <c r="I247" s="2"/>
      <c r="J247" s="2"/>
    </row>
    <row r="248" spans="4:10" ht="15.75" customHeight="1">
      <c r="D248" s="56" t="s">
        <v>135</v>
      </c>
      <c r="E248" s="67">
        <f>(M398-M415)/(H217-H232)</f>
        <v>3.956769884638737</v>
      </c>
      <c r="H248" s="2"/>
      <c r="I248" s="2"/>
      <c r="J248" s="2"/>
    </row>
    <row r="249" spans="4:10" ht="15.75" customHeight="1">
      <c r="D249" s="56" t="s">
        <v>136</v>
      </c>
      <c r="E249" s="22">
        <f>(-1*E248)*H232</f>
        <v>-1997858580.9836066</v>
      </c>
      <c r="F249" s="4" t="s">
        <v>137</v>
      </c>
      <c r="H249" s="2"/>
      <c r="I249" s="2"/>
      <c r="J249" s="2"/>
    </row>
    <row r="250" spans="4:10" ht="15.75" customHeight="1">
      <c r="D250" s="56" t="s">
        <v>138</v>
      </c>
      <c r="E250" s="2">
        <f>E248*H232+E249</f>
        <v>0</v>
      </c>
      <c r="F250" s="60"/>
      <c r="H250" s="2"/>
      <c r="I250" s="2"/>
      <c r="J250" s="2"/>
    </row>
    <row r="251" spans="1:15" ht="15.75" customHeight="1">
      <c r="A251" s="13"/>
      <c r="D251" s="68"/>
      <c r="F251" s="4"/>
      <c r="G251" s="69">
        <f>(K251*100/M251)</f>
        <v>-2.985891468585556</v>
      </c>
      <c r="H251" s="70">
        <v>42004</v>
      </c>
      <c r="I251" s="70"/>
      <c r="J251" s="70"/>
      <c r="K251" s="71">
        <v>-48.426</v>
      </c>
      <c r="L251" s="71"/>
      <c r="M251" s="72">
        <v>1621.8272</v>
      </c>
      <c r="N251" s="73"/>
      <c r="O251" s="74">
        <f>(E94/(M251*10000000))</f>
        <v>135.95492787394366</v>
      </c>
    </row>
    <row r="252" spans="1:15" ht="15.75" customHeight="1">
      <c r="A252" s="13"/>
      <c r="F252" s="4"/>
      <c r="G252" s="75"/>
      <c r="H252" s="76"/>
      <c r="I252" s="76"/>
      <c r="J252" s="76"/>
      <c r="M252" s="34"/>
      <c r="N252" s="51" t="s">
        <v>139</v>
      </c>
      <c r="O252" s="77"/>
    </row>
    <row r="253" spans="1:10" ht="15.75" customHeight="1">
      <c r="A253" s="13"/>
      <c r="F253" s="4"/>
      <c r="G253" s="75"/>
      <c r="H253" s="76"/>
      <c r="I253" s="76"/>
      <c r="J253" s="76"/>
    </row>
    <row r="254" spans="6:16" ht="15.75" customHeight="1">
      <c r="F254" s="78"/>
      <c r="G254" s="69">
        <f>(K254*100/M254)</f>
        <v>-2.576561720114469</v>
      </c>
      <c r="H254" s="70">
        <v>42369</v>
      </c>
      <c r="I254" s="70"/>
      <c r="J254" s="70"/>
      <c r="K254" s="79">
        <v>-42.567</v>
      </c>
      <c r="L254" s="79"/>
      <c r="M254" s="80">
        <f>1652.0854</f>
        <v>1652.0854</v>
      </c>
      <c r="N254" s="81"/>
      <c r="O254" s="74">
        <f>(E108/(M254*10000000))</f>
        <v>136.24168581115723</v>
      </c>
      <c r="P254" s="65"/>
    </row>
    <row r="255" spans="1:15" ht="15.75" customHeight="1">
      <c r="A255" s="13"/>
      <c r="F255" s="4"/>
      <c r="G255" s="75"/>
      <c r="M255" s="60"/>
      <c r="N255" s="82" t="s">
        <v>140</v>
      </c>
      <c r="O255" s="77"/>
    </row>
    <row r="256" spans="1:7" ht="15.75" customHeight="1">
      <c r="A256" s="13"/>
      <c r="F256" s="4"/>
      <c r="G256" s="75"/>
    </row>
    <row r="257" spans="7:10" ht="15.75" customHeight="1">
      <c r="G257" s="83"/>
      <c r="H257" s="76">
        <v>42400</v>
      </c>
      <c r="I257" s="76"/>
      <c r="J257" s="76"/>
    </row>
    <row r="258" spans="7:10" ht="15.75" customHeight="1">
      <c r="G258" s="83"/>
      <c r="H258" s="76">
        <v>42429</v>
      </c>
      <c r="I258" s="76"/>
      <c r="J258" s="76"/>
    </row>
    <row r="259" spans="6:16" ht="15.75" customHeight="1">
      <c r="F259" s="84"/>
      <c r="G259" s="75">
        <f aca="true" t="shared" si="43" ref="G259:G261">(K259*1000000000/M259)</f>
        <v>-2.620356711199316</v>
      </c>
      <c r="H259" s="76">
        <v>42460</v>
      </c>
      <c r="I259" s="76"/>
      <c r="J259" s="76"/>
      <c r="K259" s="85">
        <v>-43.167</v>
      </c>
      <c r="L259" s="85"/>
      <c r="M259" s="34">
        <v>16473711314</v>
      </c>
      <c r="N259" s="86" t="s">
        <v>141</v>
      </c>
      <c r="O259" s="87">
        <f>(E113/M259)</f>
        <v>135.40919574718245</v>
      </c>
      <c r="P259" s="65"/>
    </row>
    <row r="260" spans="6:16" ht="15.75" customHeight="1">
      <c r="F260" s="84"/>
      <c r="G260" s="75">
        <f t="shared" si="43"/>
        <v>-2.447778720374388</v>
      </c>
      <c r="H260" s="76">
        <v>42551</v>
      </c>
      <c r="I260" s="76"/>
      <c r="J260" s="76"/>
      <c r="K260" s="85">
        <v>-40.324</v>
      </c>
      <c r="L260" s="85"/>
      <c r="M260" s="34">
        <f>16473711314</f>
        <v>16473711314</v>
      </c>
      <c r="N260" s="88" t="s">
        <v>142</v>
      </c>
      <c r="O260" s="89">
        <f>(E116/M260)</f>
        <v>0</v>
      </c>
      <c r="P260" s="65"/>
    </row>
    <row r="261" spans="6:16" ht="15.75" customHeight="1">
      <c r="F261" s="84"/>
      <c r="G261" s="75">
        <f t="shared" si="43"/>
        <v>-2.4495355301131867</v>
      </c>
      <c r="H261" s="76">
        <v>42643</v>
      </c>
      <c r="I261" s="76"/>
      <c r="J261" s="76"/>
      <c r="K261" s="85">
        <v>-40.474</v>
      </c>
      <c r="L261" s="85"/>
      <c r="M261" s="34">
        <f>M260*1.003</f>
        <v>16523132447.941998</v>
      </c>
      <c r="N261" s="60" t="s">
        <v>143</v>
      </c>
      <c r="O261" s="87">
        <f>(E119/M261)</f>
        <v>136.79464273019997</v>
      </c>
      <c r="P261" s="65"/>
    </row>
    <row r="262" spans="7:15" ht="15.75" customHeight="1">
      <c r="G262" s="83"/>
      <c r="H262" s="76">
        <v>42674</v>
      </c>
      <c r="I262" s="76"/>
      <c r="J262" s="76"/>
      <c r="M262" s="34"/>
      <c r="N262" s="86" t="s">
        <v>144</v>
      </c>
      <c r="O262" s="87"/>
    </row>
    <row r="263" spans="7:16" ht="15.75" customHeight="1">
      <c r="G263" s="83"/>
      <c r="H263" s="90">
        <v>42704</v>
      </c>
      <c r="I263" s="90"/>
      <c r="J263" s="90"/>
      <c r="K263" s="29"/>
      <c r="L263" s="29"/>
      <c r="M263" s="34"/>
      <c r="N263" s="86"/>
      <c r="O263" s="89"/>
      <c r="P263" s="60"/>
    </row>
    <row r="264" spans="6:16" ht="15.75" customHeight="1">
      <c r="F264" s="78"/>
      <c r="G264" s="69">
        <f>(K264/(L264*10000000))</f>
        <v>-2.4150952775770573</v>
      </c>
      <c r="H264" s="70">
        <v>42735</v>
      </c>
      <c r="I264" s="70"/>
      <c r="J264" s="70"/>
      <c r="K264" s="91">
        <v>-40809000000</v>
      </c>
      <c r="L264" s="92">
        <v>1689.747</v>
      </c>
      <c r="M264" s="46">
        <v>16897476000</v>
      </c>
      <c r="N264" s="81"/>
      <c r="O264" s="74">
        <f>(E122/(M264))</f>
        <v>135.4943779769239</v>
      </c>
      <c r="P264" s="65"/>
    </row>
    <row r="265" spans="6:16" ht="15.75" customHeight="1">
      <c r="F265" s="78"/>
      <c r="G265" s="69"/>
      <c r="H265" s="70"/>
      <c r="I265" s="70"/>
      <c r="J265" s="70"/>
      <c r="K265" s="91"/>
      <c r="L265" s="91"/>
      <c r="M265" s="46"/>
      <c r="N265" s="82" t="s">
        <v>145</v>
      </c>
      <c r="O265" s="74"/>
      <c r="P265" s="65"/>
    </row>
    <row r="266" spans="6:16" ht="15.75" customHeight="1">
      <c r="F266" s="78"/>
      <c r="G266" s="69"/>
      <c r="H266" s="70"/>
      <c r="I266" s="70"/>
      <c r="J266" s="70"/>
      <c r="K266" s="91"/>
      <c r="L266" s="91"/>
      <c r="M266" s="46"/>
      <c r="N266" s="82" t="s">
        <v>145</v>
      </c>
      <c r="O266" s="74"/>
      <c r="P266" s="65"/>
    </row>
    <row r="267" spans="5:15" ht="15.75" customHeight="1">
      <c r="E267" s="93"/>
      <c r="F267" s="94"/>
      <c r="G267" s="95"/>
      <c r="H267" s="76">
        <v>42766</v>
      </c>
      <c r="I267" s="76"/>
      <c r="J267" s="76"/>
      <c r="M267" s="48">
        <f>(M265)*1.001666</f>
        <v>0</v>
      </c>
      <c r="N267" s="96" t="s">
        <v>146</v>
      </c>
      <c r="O267" s="89"/>
    </row>
    <row r="268" spans="5:15" ht="15.75" customHeight="1">
      <c r="E268" s="4"/>
      <c r="G268" s="83"/>
      <c r="H268" s="76">
        <v>42794</v>
      </c>
      <c r="I268" s="76"/>
      <c r="J268" s="76"/>
      <c r="M268" s="34">
        <f>(M264)*1.00333</f>
        <v>16953744595.080002</v>
      </c>
      <c r="N268" s="96" t="s">
        <v>147</v>
      </c>
      <c r="O268" s="89"/>
    </row>
    <row r="269" spans="6:16" ht="15.75" customHeight="1">
      <c r="F269" s="84"/>
      <c r="G269" s="75">
        <f>(K269/M269)</f>
        <v>-2.3401298843220095</v>
      </c>
      <c r="H269" s="76">
        <v>42825</v>
      </c>
      <c r="I269" s="76"/>
      <c r="J269" s="76"/>
      <c r="K269" s="27">
        <v>-39740000000</v>
      </c>
      <c r="L269" s="27"/>
      <c r="M269" s="34">
        <f>(M264)*1.005</f>
        <v>16981963379.999998</v>
      </c>
      <c r="N269" s="60" t="s">
        <v>148</v>
      </c>
      <c r="O269" s="89">
        <f>E128/M269</f>
        <v>133.26232952929618</v>
      </c>
      <c r="P269" s="97"/>
    </row>
    <row r="270" spans="7:15" ht="15.75" customHeight="1">
      <c r="G270" s="83"/>
      <c r="H270" s="76">
        <v>42855</v>
      </c>
      <c r="I270" s="76"/>
      <c r="J270" s="76"/>
      <c r="M270" s="34">
        <f>M269*1.001</f>
        <v>16998945343.379995</v>
      </c>
      <c r="N270" s="96" t="s">
        <v>149</v>
      </c>
      <c r="O270" s="89"/>
    </row>
    <row r="271" spans="7:15" ht="15.75" customHeight="1">
      <c r="G271" s="83"/>
      <c r="H271" s="76">
        <v>42886</v>
      </c>
      <c r="I271" s="76"/>
      <c r="J271" s="76"/>
      <c r="M271" s="31">
        <f>M269*1.002</f>
        <v>17015927306.759998</v>
      </c>
      <c r="N271" s="96" t="s">
        <v>150</v>
      </c>
      <c r="O271" s="89"/>
    </row>
    <row r="272" spans="6:15" ht="15.75" customHeight="1">
      <c r="F272" s="84"/>
      <c r="G272" s="75">
        <f>(K272/M272)</f>
        <v>-2.3828577582546124</v>
      </c>
      <c r="H272" s="76">
        <v>42916</v>
      </c>
      <c r="I272" s="76"/>
      <c r="J272" s="76"/>
      <c r="K272" s="98">
        <v>-40587000000</v>
      </c>
      <c r="L272" s="98"/>
      <c r="M272" s="31">
        <f>M269*1.003</f>
        <v>17032909270.139996</v>
      </c>
      <c r="N272" s="60" t="s">
        <v>151</v>
      </c>
      <c r="O272" s="89">
        <f aca="true" t="shared" si="44" ref="O272:O275">E131/M272</f>
        <v>134.58376156671437</v>
      </c>
    </row>
    <row r="273" spans="7:15" ht="15.75" customHeight="1">
      <c r="G273" s="83"/>
      <c r="H273" s="76">
        <v>42947</v>
      </c>
      <c r="I273" s="76"/>
      <c r="J273" s="76"/>
      <c r="M273" s="31">
        <f>M272*1.0013333</f>
        <v>17055619248.069874</v>
      </c>
      <c r="N273" s="96" t="s">
        <v>152</v>
      </c>
      <c r="O273" s="89">
        <f t="shared" si="44"/>
        <v>134.47861180763405</v>
      </c>
    </row>
    <row r="274" spans="6:15" ht="15.75" customHeight="1">
      <c r="F274" s="84"/>
      <c r="G274" s="75"/>
      <c r="H274" s="76">
        <v>42978</v>
      </c>
      <c r="I274" s="76"/>
      <c r="J274" s="76"/>
      <c r="K274" s="99"/>
      <c r="L274" s="99"/>
      <c r="M274" s="100">
        <f>M272*1.00266666</f>
        <v>17078330247.974308</v>
      </c>
      <c r="N274" s="96" t="s">
        <v>153</v>
      </c>
      <c r="O274" s="89">
        <f t="shared" si="44"/>
        <v>135.25192255103386</v>
      </c>
    </row>
    <row r="275" spans="6:15" ht="15.75" customHeight="1">
      <c r="F275" s="84"/>
      <c r="G275" s="75">
        <f>(K275/M275)</f>
        <v>-2.3323141682655932</v>
      </c>
      <c r="H275" s="76">
        <v>43008</v>
      </c>
      <c r="I275" s="76"/>
      <c r="J275" s="76"/>
      <c r="K275" s="98">
        <v>-39885000000</v>
      </c>
      <c r="L275" s="98"/>
      <c r="M275" s="100">
        <f>M272*1.004</f>
        <v>17101040907.220556</v>
      </c>
      <c r="N275" s="60" t="s">
        <v>154</v>
      </c>
      <c r="O275" s="89">
        <f t="shared" si="44"/>
        <v>135.67150751743867</v>
      </c>
    </row>
    <row r="276" spans="6:15" ht="15.75" customHeight="1">
      <c r="F276" s="84"/>
      <c r="G276" s="75"/>
      <c r="H276" s="76">
        <v>43039</v>
      </c>
      <c r="I276" s="76"/>
      <c r="J276" s="76"/>
      <c r="K276" s="99"/>
      <c r="L276" s="99"/>
      <c r="M276" s="101"/>
      <c r="N276" s="86" t="s">
        <v>155</v>
      </c>
      <c r="O276" s="89"/>
    </row>
    <row r="277" spans="6:15" ht="15.75" customHeight="1">
      <c r="F277" s="84"/>
      <c r="G277" s="75"/>
      <c r="H277" s="76">
        <v>43069</v>
      </c>
      <c r="I277" s="76"/>
      <c r="J277" s="76"/>
      <c r="K277" s="99"/>
      <c r="L277" s="99"/>
      <c r="M277" s="102">
        <f>M275*1.003</f>
        <v>17152344029.942217</v>
      </c>
      <c r="N277" s="86" t="s">
        <v>155</v>
      </c>
      <c r="O277" s="89"/>
    </row>
    <row r="278" spans="6:15" ht="15.75" customHeight="1">
      <c r="F278" s="84"/>
      <c r="G278" s="69">
        <f>(K278/(L278*10000000))</f>
        <v>-2.364399718298991</v>
      </c>
      <c r="H278" s="70">
        <v>43100</v>
      </c>
      <c r="I278" s="70"/>
      <c r="J278" s="70"/>
      <c r="K278" s="91">
        <v>-41060000000</v>
      </c>
      <c r="L278" s="103">
        <f>M278/1000000</f>
        <v>1736.593</v>
      </c>
      <c r="M278" s="46">
        <v>1736593000</v>
      </c>
      <c r="N278" s="104"/>
      <c r="O278" s="74">
        <f>E137/M278</f>
        <v>1352.795963130106</v>
      </c>
    </row>
    <row r="279" spans="6:10" ht="15.75" customHeight="1">
      <c r="F279" s="84"/>
      <c r="G279" s="69"/>
      <c r="H279" s="70"/>
      <c r="I279" s="70"/>
      <c r="J279" s="70"/>
    </row>
    <row r="280" spans="6:10" ht="15.75" customHeight="1">
      <c r="F280" s="84"/>
      <c r="G280" s="69"/>
      <c r="H280" s="70"/>
      <c r="I280" s="70"/>
      <c r="J280" s="70"/>
    </row>
    <row r="281" spans="6:15" ht="15.75" customHeight="1">
      <c r="F281" s="105"/>
      <c r="G281" s="83"/>
      <c r="H281" s="76">
        <v>43131</v>
      </c>
      <c r="I281" s="76"/>
      <c r="J281" s="76"/>
      <c r="M281" s="31">
        <f>M277*1.001</f>
        <v>17169496373.972157</v>
      </c>
      <c r="N281" s="106" t="s">
        <v>156</v>
      </c>
      <c r="O281" s="89">
        <f aca="true" t="shared" si="45" ref="O281:O283">E138/M281</f>
        <v>135.90183131621913</v>
      </c>
    </row>
    <row r="282" spans="7:15" ht="15.75" customHeight="1">
      <c r="G282" s="83"/>
      <c r="H282" s="76">
        <v>43159</v>
      </c>
      <c r="I282" s="76"/>
      <c r="J282" s="76"/>
      <c r="M282" s="31">
        <f>M277*1.002</f>
        <v>17186648718.0021</v>
      </c>
      <c r="N282" s="106" t="s">
        <v>157</v>
      </c>
      <c r="O282" s="89">
        <f t="shared" si="45"/>
        <v>136.04915294223878</v>
      </c>
    </row>
    <row r="283" spans="6:15" ht="15.75" customHeight="1">
      <c r="F283" s="107"/>
      <c r="G283" s="75">
        <f>(K283/M283)</f>
        <v>-2.2545017731923687</v>
      </c>
      <c r="H283" s="76">
        <v>43190</v>
      </c>
      <c r="I283" s="76"/>
      <c r="J283" s="76"/>
      <c r="K283" s="98">
        <v>-38786000000</v>
      </c>
      <c r="L283" s="98"/>
      <c r="M283" s="31">
        <f>M277*1.003</f>
        <v>17203801062.032043</v>
      </c>
      <c r="N283" s="60" t="s">
        <v>158</v>
      </c>
      <c r="O283" s="89">
        <f t="shared" si="45"/>
        <v>136.08969271140012</v>
      </c>
    </row>
    <row r="284" spans="7:15" ht="15.75" customHeight="1">
      <c r="G284" s="83"/>
      <c r="H284" s="76">
        <v>43220</v>
      </c>
      <c r="I284" s="76"/>
      <c r="J284" s="76"/>
      <c r="M284" s="31">
        <f>M283*1.0006666</f>
        <v>17215269115.819992</v>
      </c>
      <c r="N284" s="106" t="s">
        <v>159</v>
      </c>
      <c r="O284" s="89">
        <f>E140/M284</f>
        <v>135.9990357541664</v>
      </c>
    </row>
    <row r="285" spans="7:15" ht="15.75" customHeight="1">
      <c r="G285" s="83"/>
      <c r="H285" s="76">
        <v>43251</v>
      </c>
      <c r="I285" s="76"/>
      <c r="J285" s="76"/>
      <c r="M285" s="31">
        <f>M283*1.001333333</f>
        <v>17226739457.713486</v>
      </c>
      <c r="N285" s="106" t="s">
        <v>160</v>
      </c>
      <c r="O285" s="89">
        <f>E140/M285</f>
        <v>135.90848144810548</v>
      </c>
    </row>
    <row r="286" spans="7:15" ht="15.75" customHeight="1">
      <c r="G286" s="75">
        <f>(K286/M286)</f>
        <v>-1.8502502563575627</v>
      </c>
      <c r="H286" s="76">
        <v>43281</v>
      </c>
      <c r="I286" s="76"/>
      <c r="J286" s="76"/>
      <c r="K286" s="98">
        <v>-31895000000</v>
      </c>
      <c r="L286" s="98"/>
      <c r="M286" s="31">
        <f>M283*1.002</f>
        <v>17238208664.15611</v>
      </c>
      <c r="N286" s="60" t="s">
        <v>161</v>
      </c>
      <c r="O286" s="89">
        <f aca="true" t="shared" si="46" ref="O286:O287">E143/M286</f>
        <v>0</v>
      </c>
    </row>
    <row r="287" spans="7:15" ht="15.75" customHeight="1">
      <c r="G287" s="83"/>
      <c r="H287" s="76">
        <v>43312</v>
      </c>
      <c r="I287" s="76"/>
      <c r="J287" s="76"/>
      <c r="M287" s="31">
        <f>M286*0.99977</f>
        <v>17234243876.163353</v>
      </c>
      <c r="N287" s="106"/>
      <c r="O287" s="89">
        <f t="shared" si="46"/>
        <v>0</v>
      </c>
    </row>
    <row r="288" spans="7:15" ht="15.75" customHeight="1">
      <c r="G288" s="83"/>
      <c r="H288" s="76">
        <v>43343</v>
      </c>
      <c r="I288" s="76"/>
      <c r="J288" s="76"/>
      <c r="M288" s="31">
        <f>M286*0.99933</f>
        <v>17226659064.351124</v>
      </c>
      <c r="N288" s="106"/>
      <c r="O288" s="89">
        <f>E145/M287</f>
        <v>137.1401041428316</v>
      </c>
    </row>
    <row r="289" spans="7:15" ht="16.5" customHeight="1">
      <c r="G289" s="75">
        <f>(K289/M289)</f>
        <v>-1.8612843797144516</v>
      </c>
      <c r="H289" s="76">
        <v>43373</v>
      </c>
      <c r="I289" s="76"/>
      <c r="J289" s="76"/>
      <c r="K289" s="108">
        <v>-32082000000</v>
      </c>
      <c r="L289" s="4"/>
      <c r="M289" s="109">
        <f>M286*0.9999</f>
        <v>17236484843.289692</v>
      </c>
      <c r="N289" s="110" t="s">
        <v>162</v>
      </c>
      <c r="O289" s="89">
        <f aca="true" t="shared" si="47" ref="O289:O292">E146/M289</f>
        <v>137.1059715183182</v>
      </c>
    </row>
    <row r="290" spans="7:15" ht="15.75" customHeight="1">
      <c r="G290" s="83"/>
      <c r="H290" s="76">
        <v>43404</v>
      </c>
      <c r="I290" s="76"/>
      <c r="J290" s="76"/>
      <c r="M290" s="31">
        <f>M289*0.99996</f>
        <v>17235795383.89596</v>
      </c>
      <c r="N290" s="106"/>
      <c r="O290" s="89">
        <f t="shared" si="47"/>
        <v>136.839521905886</v>
      </c>
    </row>
    <row r="291" spans="7:15" ht="15.75" customHeight="1">
      <c r="G291" s="83"/>
      <c r="H291" s="76">
        <v>43434</v>
      </c>
      <c r="I291" s="76"/>
      <c r="J291" s="76"/>
      <c r="M291" s="31">
        <f>M289*0.99966</f>
        <v>17230624438.442974</v>
      </c>
      <c r="N291" s="106"/>
      <c r="O291" s="89">
        <f t="shared" si="47"/>
        <v>137.73813064516318</v>
      </c>
    </row>
    <row r="292" spans="7:15" ht="15.75" customHeight="1">
      <c r="G292" s="111"/>
      <c r="H292" s="90" t="s">
        <v>163</v>
      </c>
      <c r="I292" s="90"/>
      <c r="J292" s="90"/>
      <c r="K292" s="91"/>
      <c r="L292" s="112"/>
      <c r="M292" s="34">
        <f>M289*0.999</f>
        <v>17219248358.446404</v>
      </c>
      <c r="N292" s="113" t="s">
        <v>164</v>
      </c>
      <c r="O292" s="87">
        <f t="shared" si="47"/>
        <v>137.3267259276206</v>
      </c>
    </row>
    <row r="293" spans="7:15" ht="15.75" customHeight="1">
      <c r="G293" s="69">
        <f>(K293/(L293*10000000))</f>
        <v>-2.176097305999325</v>
      </c>
      <c r="H293" s="70">
        <v>43465</v>
      </c>
      <c r="I293" s="70"/>
      <c r="J293" s="70"/>
      <c r="K293" s="114">
        <v>-38551000000</v>
      </c>
      <c r="L293" s="103">
        <f>M293/10000000</f>
        <v>1771.566</v>
      </c>
      <c r="M293" s="46">
        <v>17715660000</v>
      </c>
      <c r="N293" s="115" t="s">
        <v>165</v>
      </c>
      <c r="O293" s="74">
        <f>E149/M293</f>
        <v>133.47868496008616</v>
      </c>
    </row>
    <row r="294" spans="7:15" ht="15.75" customHeight="1">
      <c r="G294" s="83"/>
      <c r="H294" s="76" t="s">
        <v>163</v>
      </c>
      <c r="I294" s="76"/>
      <c r="J294" s="76"/>
      <c r="K294" s="116" t="s">
        <v>166</v>
      </c>
      <c r="M294" s="31">
        <f>M277*1.012</f>
        <v>17358172158.301525</v>
      </c>
      <c r="N294" s="60" t="s">
        <v>167</v>
      </c>
      <c r="O294" s="89"/>
    </row>
    <row r="295" spans="7:15" ht="15.75" customHeight="1">
      <c r="G295" s="83"/>
      <c r="H295" s="76" t="s">
        <v>163</v>
      </c>
      <c r="I295" s="76"/>
      <c r="J295" s="76"/>
      <c r="M295" s="31">
        <f>M277*1.009</f>
        <v>17306715126.211697</v>
      </c>
      <c r="N295" s="60" t="s">
        <v>168</v>
      </c>
      <c r="O295" s="89">
        <v>131.7</v>
      </c>
    </row>
    <row r="296" spans="7:10" ht="15.75" customHeight="1">
      <c r="G296" s="83"/>
      <c r="H296" s="76"/>
      <c r="I296" s="76"/>
      <c r="J296" s="76"/>
    </row>
    <row r="297" spans="7:10" ht="15.75" customHeight="1">
      <c r="G297" s="83"/>
      <c r="H297" s="76"/>
      <c r="I297" s="76"/>
      <c r="J297" s="76"/>
    </row>
    <row r="298" spans="7:15" ht="15.75" customHeight="1">
      <c r="G298" s="83"/>
      <c r="H298" s="76">
        <v>43496</v>
      </c>
      <c r="I298" s="76"/>
      <c r="J298" s="76"/>
      <c r="M298" s="31">
        <f>17569820000*1.000334</f>
        <v>17575688319.88</v>
      </c>
      <c r="N298" s="106"/>
      <c r="O298" s="87">
        <f aca="true" t="shared" si="48" ref="O298:O300">E145/M298</f>
        <v>134.47587127080646</v>
      </c>
    </row>
    <row r="299" spans="7:15" ht="15.75" customHeight="1">
      <c r="G299" s="83"/>
      <c r="H299" s="76">
        <v>43524</v>
      </c>
      <c r="I299" s="76"/>
      <c r="J299" s="76"/>
      <c r="M299" s="31">
        <f>17569820000*1.000668</f>
        <v>17581556639.76</v>
      </c>
      <c r="O299" s="89">
        <f t="shared" si="48"/>
        <v>134.41500365534526</v>
      </c>
    </row>
    <row r="300" spans="7:15" ht="15.75" customHeight="1">
      <c r="G300" s="75">
        <f>(K300/(L300*10000000))</f>
        <v>-2.220915463647824</v>
      </c>
      <c r="H300" s="76">
        <v>43555</v>
      </c>
      <c r="I300" s="76"/>
      <c r="J300" s="76"/>
      <c r="K300" s="117">
        <v>-38132000000</v>
      </c>
      <c r="L300" s="118">
        <f>M300/10000000</f>
        <v>1716.9496373972156</v>
      </c>
      <c r="M300" s="31">
        <f>M277*1.001</f>
        <v>17169496373.972157</v>
      </c>
      <c r="N300" s="119" t="s">
        <v>169</v>
      </c>
      <c r="O300" s="89">
        <f t="shared" si="48"/>
        <v>137.36791974722047</v>
      </c>
    </row>
    <row r="301" spans="7:11" ht="15.75" customHeight="1">
      <c r="G301" s="83"/>
      <c r="H301" s="76">
        <v>43585</v>
      </c>
      <c r="I301" s="76"/>
      <c r="J301" s="76"/>
      <c r="K301" s="51"/>
    </row>
    <row r="302" spans="7:10" ht="15.75" customHeight="1">
      <c r="G302" s="83"/>
      <c r="H302" s="76">
        <v>43616</v>
      </c>
      <c r="I302" s="76"/>
      <c r="J302" s="76"/>
    </row>
    <row r="303" spans="7:15" ht="15.75" customHeight="1">
      <c r="G303" s="75">
        <f>(K303/(L303*10000000))</f>
        <v>-2.1615594484849217</v>
      </c>
      <c r="H303" s="76">
        <v>43646</v>
      </c>
      <c r="I303" s="76"/>
      <c r="J303" s="76"/>
      <c r="K303" s="117">
        <v>-37150000000</v>
      </c>
      <c r="L303" s="120">
        <f>M303/10000000</f>
        <v>1718.6665870346126</v>
      </c>
      <c r="M303" s="31">
        <f>M300*1.001</f>
        <v>17186665870.346127</v>
      </c>
      <c r="N303" s="121" t="s">
        <v>170</v>
      </c>
      <c r="O303" s="89">
        <f>E150/M303</f>
        <v>138.85072404400796</v>
      </c>
    </row>
    <row r="304" spans="8:11" ht="15.75" customHeight="1">
      <c r="H304" s="76">
        <v>43677</v>
      </c>
      <c r="I304" s="76"/>
      <c r="J304" s="76"/>
      <c r="K304" s="51"/>
    </row>
    <row r="305" spans="8:10" ht="15.75" customHeight="1">
      <c r="H305" s="76"/>
      <c r="I305" s="76"/>
      <c r="J305" s="76"/>
    </row>
    <row r="306" spans="7:15" ht="15.75" customHeight="1">
      <c r="G306" s="122" t="s">
        <v>171</v>
      </c>
      <c r="H306" s="122"/>
      <c r="I306" s="122"/>
      <c r="J306" s="122"/>
      <c r="K306" s="122"/>
      <c r="L306" s="122"/>
      <c r="M306" s="122"/>
      <c r="N306" s="122"/>
      <c r="O306" s="122"/>
    </row>
    <row r="307" spans="8:10" ht="15.75" customHeight="1">
      <c r="H307" s="76"/>
      <c r="I307" s="76"/>
      <c r="J307" s="76"/>
    </row>
    <row r="308" spans="7:15" ht="15.75" customHeight="1">
      <c r="G308" s="60" t="s">
        <v>172</v>
      </c>
      <c r="H308" s="76"/>
      <c r="I308" s="76" t="s">
        <v>173</v>
      </c>
      <c r="J308" s="76" t="s">
        <v>174</v>
      </c>
      <c r="K308" s="60" t="s">
        <v>175</v>
      </c>
      <c r="L308" s="60" t="s">
        <v>176</v>
      </c>
      <c r="M308" s="31" t="s">
        <v>177</v>
      </c>
      <c r="O308" s="89" t="s">
        <v>178</v>
      </c>
    </row>
    <row r="309" spans="8:15" ht="15.75" customHeight="1">
      <c r="H309" s="76">
        <v>43708</v>
      </c>
      <c r="I309" s="76"/>
      <c r="J309" s="76"/>
      <c r="L309" s="120">
        <f aca="true" t="shared" si="49" ref="L309:L313">M309/10000000</f>
        <v>1719.8123646447248</v>
      </c>
      <c r="M309" s="109">
        <f>M303*1.0006666666</f>
        <v>17198123646.447247</v>
      </c>
      <c r="O309" s="89">
        <f aca="true" t="shared" si="50" ref="O309:O313">E155/M309</f>
        <v>143.19544681891725</v>
      </c>
    </row>
    <row r="310" spans="8:15" ht="15.75" customHeight="1">
      <c r="H310" s="76">
        <v>43738</v>
      </c>
      <c r="I310" s="76"/>
      <c r="J310" s="76"/>
      <c r="L310" s="120">
        <f t="shared" si="49"/>
        <v>1720.3852536216473</v>
      </c>
      <c r="M310" s="109">
        <f>M303*1.001</f>
        <v>17203852536.216473</v>
      </c>
      <c r="N310" s="119" t="s">
        <v>179</v>
      </c>
      <c r="O310" s="89">
        <f t="shared" si="50"/>
        <v>141.78498652351547</v>
      </c>
    </row>
    <row r="311" spans="8:15" ht="15.75" customHeight="1">
      <c r="H311" s="76">
        <v>43769</v>
      </c>
      <c r="I311" s="76"/>
      <c r="J311" s="76"/>
      <c r="L311" s="120">
        <f t="shared" si="49"/>
        <v>1718.6648683680255</v>
      </c>
      <c r="M311" s="109">
        <f>M310*0.999</f>
        <v>17186648683.680256</v>
      </c>
      <c r="N311" s="119"/>
      <c r="O311" s="89">
        <f t="shared" si="50"/>
        <v>142.43003653902704</v>
      </c>
    </row>
    <row r="312" spans="8:15" ht="15.75" customHeight="1">
      <c r="H312" s="76">
        <v>43799</v>
      </c>
      <c r="I312" s="76"/>
      <c r="J312" s="76"/>
      <c r="K312" s="73"/>
      <c r="L312" s="120">
        <f t="shared" si="49"/>
        <v>1717.8046757412149</v>
      </c>
      <c r="M312" s="31">
        <f>M310*0.9985</f>
        <v>17178046757.41215</v>
      </c>
      <c r="O312" s="89">
        <f t="shared" si="50"/>
        <v>142.38487265408227</v>
      </c>
    </row>
    <row r="313" spans="7:15" ht="15.75" customHeight="1">
      <c r="G313" s="123">
        <f>(K313/(L313*10000000))</f>
        <v>-1.6703356742557498</v>
      </c>
      <c r="H313" s="90">
        <v>43830</v>
      </c>
      <c r="I313" s="90"/>
      <c r="J313" s="70"/>
      <c r="K313" s="27">
        <v>-28650000000</v>
      </c>
      <c r="L313" s="118">
        <f t="shared" si="49"/>
        <v>1715.2240978607822</v>
      </c>
      <c r="M313" s="31">
        <f>M310*0.997</f>
        <v>17152240978.607822</v>
      </c>
      <c r="N313" s="110" t="s">
        <v>180</v>
      </c>
      <c r="O313" s="87">
        <f t="shared" si="50"/>
        <v>140.4971515387138</v>
      </c>
    </row>
    <row r="314" spans="7:15" ht="15.75" customHeight="1">
      <c r="G314" s="69"/>
      <c r="H314" s="90"/>
      <c r="I314" s="90"/>
      <c r="J314" s="70"/>
      <c r="K314" s="124" t="s">
        <v>181</v>
      </c>
      <c r="L314" s="118"/>
      <c r="M314" s="31"/>
      <c r="N314" s="110"/>
      <c r="O314" s="87"/>
    </row>
    <row r="315" spans="7:15" ht="15.75" customHeight="1">
      <c r="G315" s="69">
        <f>(K315/(L315*10000000))</f>
        <v>-1.5578952305546467</v>
      </c>
      <c r="H315" s="70">
        <v>43830</v>
      </c>
      <c r="I315" s="70"/>
      <c r="J315" s="76"/>
      <c r="K315" s="125">
        <v>-27901000000</v>
      </c>
      <c r="L315" s="126">
        <f>M315/10000000</f>
        <v>1790.942</v>
      </c>
      <c r="M315" s="127">
        <v>17909420000</v>
      </c>
      <c r="N315" s="128" t="s">
        <v>165</v>
      </c>
      <c r="O315" s="74">
        <f>E159/M315</f>
        <v>134.55717717268342</v>
      </c>
    </row>
    <row r="316" spans="7:10" ht="15.75" customHeight="1">
      <c r="G316" s="69"/>
      <c r="H316" s="70"/>
      <c r="I316" s="70"/>
      <c r="J316" s="70"/>
    </row>
    <row r="317" spans="7:10" ht="15.75" customHeight="1">
      <c r="G317" s="129"/>
      <c r="H317" s="76"/>
      <c r="I317" s="76"/>
      <c r="J317" s="76"/>
    </row>
    <row r="318" spans="7:15" ht="15.75" customHeight="1">
      <c r="G318" s="83"/>
      <c r="H318" s="76">
        <v>43861</v>
      </c>
      <c r="I318" s="76"/>
      <c r="J318" s="76"/>
      <c r="L318" s="120">
        <f aca="true" t="shared" si="51" ref="L318:L323">M318/10000000</f>
        <v>1759.3020240696862</v>
      </c>
      <c r="M318" s="31">
        <f>M315*0.982333333</f>
        <v>17593020240.69686</v>
      </c>
      <c r="O318" s="89">
        <f aca="true" t="shared" si="52" ref="O318:O323">E162/M318</f>
        <v>138.928448132291</v>
      </c>
    </row>
    <row r="319" spans="7:15" ht="15.75" customHeight="1">
      <c r="G319" s="83"/>
      <c r="H319" s="76">
        <v>43890</v>
      </c>
      <c r="I319" s="76"/>
      <c r="J319" s="76"/>
      <c r="L319" s="130">
        <f t="shared" si="51"/>
        <v>1727.6620373937199</v>
      </c>
      <c r="M319" s="31">
        <f>M315*0.96466666</f>
        <v>17276620373.9372</v>
      </c>
      <c r="N319" s="131"/>
      <c r="O319" s="89">
        <f t="shared" si="52"/>
        <v>141.6303621332841</v>
      </c>
    </row>
    <row r="320" spans="7:15" ht="15.75" customHeight="1">
      <c r="G320" s="123">
        <f>K320/M320</f>
        <v>-2.3966669197962336</v>
      </c>
      <c r="H320" s="132">
        <v>43921</v>
      </c>
      <c r="I320" s="133">
        <v>20136000000</v>
      </c>
      <c r="J320" s="134"/>
      <c r="K320" s="27">
        <v>-40648000000</v>
      </c>
      <c r="L320" s="135">
        <f t="shared" si="51"/>
        <v>1696.0220740000002</v>
      </c>
      <c r="M320" s="133">
        <f>M315*0.947</f>
        <v>16960220740.000002</v>
      </c>
      <c r="N320" s="86" t="s">
        <v>182</v>
      </c>
      <c r="O320" s="136">
        <f t="shared" si="52"/>
        <v>143.34005655164603</v>
      </c>
    </row>
    <row r="321" spans="7:15" ht="15.75" customHeight="1">
      <c r="G321" s="137"/>
      <c r="H321" s="76">
        <v>43951</v>
      </c>
      <c r="I321" s="138" t="s">
        <v>183</v>
      </c>
      <c r="J321" s="139"/>
      <c r="K321" s="30" t="s">
        <v>183</v>
      </c>
      <c r="L321" s="120">
        <f t="shared" si="51"/>
        <v>1625.918697593284</v>
      </c>
      <c r="M321" s="31">
        <f>M320*0.958666</f>
        <v>16259186975.93284</v>
      </c>
      <c r="O321" s="89">
        <f t="shared" si="52"/>
        <v>151.86644963582705</v>
      </c>
    </row>
    <row r="322" spans="7:15" ht="15.75" customHeight="1">
      <c r="G322" s="83"/>
      <c r="H322" s="76">
        <v>43982</v>
      </c>
      <c r="I322" s="76"/>
      <c r="J322" s="139"/>
      <c r="L322" s="140">
        <f t="shared" si="51"/>
        <v>1491.5088766193398</v>
      </c>
      <c r="M322" s="31">
        <f>M321*0.917333</f>
        <v>14915088766.1934</v>
      </c>
      <c r="O322" s="89">
        <f t="shared" si="52"/>
        <v>168.29138862983905</v>
      </c>
    </row>
    <row r="323" spans="7:15" ht="15.75" customHeight="1">
      <c r="G323" s="123">
        <f>K323/M323</f>
        <v>-5.5664396958203435</v>
      </c>
      <c r="H323" s="132">
        <v>44012</v>
      </c>
      <c r="I323" s="141">
        <v>-23341000000</v>
      </c>
      <c r="J323" s="142">
        <f>(-1*K323)+I323</f>
        <v>58794000000</v>
      </c>
      <c r="K323" s="27">
        <v>-82135000000</v>
      </c>
      <c r="L323" s="135">
        <f t="shared" si="51"/>
        <v>1475.53920438</v>
      </c>
      <c r="M323" s="133">
        <f>M320*0.87</f>
        <v>14755392043.800001</v>
      </c>
      <c r="N323" s="143" t="s">
        <v>184</v>
      </c>
      <c r="O323" s="136">
        <f t="shared" si="52"/>
        <v>171.50394869130736</v>
      </c>
    </row>
    <row r="324" spans="7:15" ht="15.75" customHeight="1">
      <c r="G324" s="123"/>
      <c r="H324" s="132"/>
      <c r="I324" s="144" t="s">
        <v>183</v>
      </c>
      <c r="J324" s="145" t="s">
        <v>183</v>
      </c>
      <c r="K324" s="146" t="s">
        <v>183</v>
      </c>
      <c r="L324" s="135"/>
      <c r="M324" s="147"/>
      <c r="N324" s="143"/>
      <c r="O324" s="136"/>
    </row>
    <row r="325" spans="7:15" ht="15.75" customHeight="1">
      <c r="G325" s="83"/>
      <c r="H325" s="76">
        <v>44043</v>
      </c>
      <c r="I325" s="30"/>
      <c r="J325" s="138"/>
      <c r="K325" s="146"/>
      <c r="L325" s="120">
        <f aca="true" t="shared" si="53" ref="L325:L330">M325/10000000</f>
        <v>1554.6281057347683</v>
      </c>
      <c r="M325" s="31">
        <f>M323*1.0536</f>
        <v>15546281057.347683</v>
      </c>
      <c r="N325" s="148"/>
      <c r="O325" s="89">
        <f aca="true" t="shared" si="54" ref="O325:O329">E168/M325</f>
        <v>164.72724187561477</v>
      </c>
    </row>
    <row r="326" spans="7:15" ht="15.75" customHeight="1">
      <c r="G326" s="83"/>
      <c r="H326" s="76">
        <v>44074</v>
      </c>
      <c r="I326" s="76"/>
      <c r="J326" s="76"/>
      <c r="L326" s="120">
        <f t="shared" si="53"/>
        <v>1633.9132538037186</v>
      </c>
      <c r="M326" s="34">
        <f>M323*1.107333</f>
        <v>16339132538.037186</v>
      </c>
      <c r="N326" s="4"/>
      <c r="O326" s="89">
        <f t="shared" si="54"/>
        <v>157.82643258427132</v>
      </c>
    </row>
    <row r="327" spans="7:15" ht="15.75" customHeight="1">
      <c r="G327" s="75">
        <f>K327/M327</f>
        <v>-6.576791748427826</v>
      </c>
      <c r="H327" s="76">
        <v>44104</v>
      </c>
      <c r="I327" s="98">
        <v>-52828000000</v>
      </c>
      <c r="J327" s="34">
        <f>(-1*K327)+I327</f>
        <v>59645000000</v>
      </c>
      <c r="K327" s="98">
        <v>-112473000000</v>
      </c>
      <c r="L327" s="120">
        <f t="shared" si="53"/>
        <v>1710.1499378764202</v>
      </c>
      <c r="M327" s="31">
        <f>M323*1.159</f>
        <v>17101499378.764202</v>
      </c>
      <c r="N327" s="60" t="s">
        <v>185</v>
      </c>
      <c r="O327" s="89">
        <f t="shared" si="54"/>
        <v>151.0859336233658</v>
      </c>
    </row>
    <row r="328" spans="7:15" ht="15.75" customHeight="1">
      <c r="G328" s="83"/>
      <c r="H328" s="76">
        <v>44135</v>
      </c>
      <c r="I328" s="138" t="s">
        <v>183</v>
      </c>
      <c r="J328" s="30" t="s">
        <v>183</v>
      </c>
      <c r="K328" s="30" t="s">
        <v>183</v>
      </c>
      <c r="L328" s="120">
        <f t="shared" si="53"/>
        <v>1700.459031223456</v>
      </c>
      <c r="M328" s="31">
        <f>M327*0.9943333</f>
        <v>17004590312.234558</v>
      </c>
      <c r="N328" s="4"/>
      <c r="O328" s="89">
        <f t="shared" si="54"/>
        <v>152.13162754875293</v>
      </c>
    </row>
    <row r="329" spans="7:15" ht="15.75" customHeight="1">
      <c r="G329" s="83"/>
      <c r="H329" s="76">
        <v>44165</v>
      </c>
      <c r="I329" s="76"/>
      <c r="L329" s="120">
        <f t="shared" si="53"/>
        <v>1687.347927303735</v>
      </c>
      <c r="M329" s="31">
        <f>M327*0.98666666</f>
        <v>16873479273.037352</v>
      </c>
      <c r="N329" s="4"/>
      <c r="O329" s="89">
        <f t="shared" si="54"/>
        <v>153.28196148217563</v>
      </c>
    </row>
    <row r="330" spans="7:15" ht="15.75" customHeight="1">
      <c r="G330" s="149">
        <f>K330/M330</f>
        <v>-10.8</v>
      </c>
      <c r="H330" s="76">
        <v>44165</v>
      </c>
      <c r="I330" s="76"/>
      <c r="K330" s="150">
        <f>M330*G339</f>
        <v>-177367731912</v>
      </c>
      <c r="L330" s="151">
        <f t="shared" si="53"/>
        <v>1642.293814</v>
      </c>
      <c r="M330" s="152">
        <f>M315*0.917</f>
        <v>16422938140</v>
      </c>
      <c r="N330" s="153" t="s">
        <v>186</v>
      </c>
      <c r="O330" s="89">
        <f>E172/M330</f>
        <v>157.48704512869827</v>
      </c>
    </row>
    <row r="331" spans="7:15" ht="15.75" customHeight="1">
      <c r="G331" s="83"/>
      <c r="H331" s="76">
        <v>44165</v>
      </c>
      <c r="I331" s="76"/>
      <c r="K331" s="30" t="s">
        <v>187</v>
      </c>
      <c r="L331" s="120"/>
      <c r="M331" s="31"/>
      <c r="N331" s="35"/>
      <c r="O331" s="77"/>
    </row>
    <row r="332" spans="7:15" ht="15.75" customHeight="1">
      <c r="G332" s="154">
        <v>-10.4</v>
      </c>
      <c r="H332" s="76">
        <v>44196</v>
      </c>
      <c r="I332" s="155"/>
      <c r="J332" s="34"/>
      <c r="K332" s="146">
        <f>M332*G332</f>
        <v>-169867266816</v>
      </c>
      <c r="L332" s="120"/>
      <c r="M332" s="31">
        <f>M315*0.912</f>
        <v>16333391040</v>
      </c>
      <c r="N332" s="35" t="s">
        <v>188</v>
      </c>
      <c r="O332" s="87">
        <f>E173/M332</f>
        <v>157.55368825113246</v>
      </c>
    </row>
    <row r="333" spans="7:15" ht="15.75" customHeight="1">
      <c r="G333" s="156" t="s">
        <v>189</v>
      </c>
      <c r="H333" s="76">
        <v>44196</v>
      </c>
      <c r="I333" s="155">
        <v>-119604000000</v>
      </c>
      <c r="J333" s="34">
        <f>(-1*K333)+I333</f>
        <v>58411000000</v>
      </c>
      <c r="K333" s="27">
        <v>-178015000000</v>
      </c>
      <c r="L333" s="120"/>
      <c r="M333" s="31"/>
      <c r="N333" s="35"/>
      <c r="O333" s="87"/>
    </row>
    <row r="334" spans="7:15" ht="15.75" customHeight="1">
      <c r="G334" s="156"/>
      <c r="H334" s="76"/>
      <c r="I334" s="146" t="s">
        <v>183</v>
      </c>
      <c r="J334" s="157" t="s">
        <v>183</v>
      </c>
      <c r="K334" s="146" t="s">
        <v>183</v>
      </c>
      <c r="L334" s="120"/>
      <c r="M334" s="31">
        <f>M327*0.98</f>
        <v>16759469391.188917</v>
      </c>
      <c r="N334" s="158" t="s">
        <v>190</v>
      </c>
      <c r="O334" s="89"/>
    </row>
    <row r="335" spans="7:15" ht="15.75" customHeight="1">
      <c r="G335" s="154">
        <v>-10.4</v>
      </c>
      <c r="H335" s="90">
        <v>44196</v>
      </c>
      <c r="I335" s="98"/>
      <c r="J335" s="157"/>
      <c r="K335" s="159">
        <f>M335*G335</f>
        <v>-165307068560.84003</v>
      </c>
      <c r="L335" s="151">
        <f>M335/10000000</f>
        <v>1589.4910438542308</v>
      </c>
      <c r="M335" s="152">
        <f>E173/O335</f>
        <v>15894910438.542309</v>
      </c>
      <c r="N335" s="158" t="s">
        <v>191</v>
      </c>
      <c r="O335" s="87">
        <v>161.9</v>
      </c>
    </row>
    <row r="336" spans="7:15" ht="15.75" customHeight="1">
      <c r="G336" s="83"/>
      <c r="H336" s="76"/>
      <c r="I336" s="160"/>
      <c r="J336" s="51"/>
      <c r="K336" s="30" t="s">
        <v>187</v>
      </c>
      <c r="M336" s="60" t="s">
        <v>192</v>
      </c>
      <c r="N336" s="35"/>
      <c r="O336" s="161" t="s">
        <v>193</v>
      </c>
    </row>
    <row r="337" spans="7:10" ht="15.75" customHeight="1">
      <c r="G337" s="83"/>
      <c r="H337" s="76"/>
      <c r="I337" s="160"/>
      <c r="J337" s="51"/>
    </row>
    <row r="338" spans="7:15" ht="15.75" customHeight="1">
      <c r="G338" s="83"/>
      <c r="H338" s="90">
        <v>44196</v>
      </c>
      <c r="I338" s="160"/>
      <c r="J338" s="51"/>
      <c r="K338" s="51"/>
      <c r="L338" s="162"/>
      <c r="M338" s="34"/>
      <c r="N338" s="60" t="s">
        <v>194</v>
      </c>
      <c r="O338" s="87"/>
    </row>
    <row r="339" spans="7:15" ht="15.75" customHeight="1">
      <c r="G339" s="163">
        <v>-10.8</v>
      </c>
      <c r="H339" s="164">
        <v>44196</v>
      </c>
      <c r="I339" s="165">
        <v>-119605000000</v>
      </c>
      <c r="J339" s="166">
        <f>(-1*K339)+I339</f>
        <v>58410000000</v>
      </c>
      <c r="K339" s="167">
        <v>-178015000000</v>
      </c>
      <c r="L339" s="168">
        <v>1647.2</v>
      </c>
      <c r="M339" s="34">
        <v>16472000000</v>
      </c>
      <c r="N339" s="60"/>
      <c r="O339" s="169">
        <v>158</v>
      </c>
    </row>
    <row r="340" spans="7:15" ht="15.75" customHeight="1">
      <c r="G340" s="51" t="s">
        <v>181</v>
      </c>
      <c r="H340" s="70"/>
      <c r="I340" s="51" t="s">
        <v>181</v>
      </c>
      <c r="K340" s="51" t="s">
        <v>181</v>
      </c>
      <c r="L340" s="170" t="s">
        <v>195</v>
      </c>
      <c r="M340" s="170"/>
      <c r="N340" s="171"/>
      <c r="O340" s="51" t="s">
        <v>196</v>
      </c>
    </row>
    <row r="341" spans="7:15" ht="15.75" customHeight="1">
      <c r="G341" s="172">
        <f>K341/M341</f>
        <v>-9.598673280200332</v>
      </c>
      <c r="H341" s="173">
        <v>44196</v>
      </c>
      <c r="I341" s="174">
        <v>-101189000000</v>
      </c>
      <c r="K341" s="175">
        <v>-159457000000</v>
      </c>
      <c r="L341" s="176">
        <f>M341/10000000</f>
        <v>1661.24</v>
      </c>
      <c r="M341" s="127">
        <v>16612400000</v>
      </c>
      <c r="N341" s="177" t="s">
        <v>165</v>
      </c>
      <c r="O341" s="74">
        <f>E173/M341</f>
        <v>154.9075389468108</v>
      </c>
    </row>
    <row r="342" spans="7:15" ht="15.75" customHeight="1">
      <c r="G342" s="51"/>
      <c r="K342" s="116" t="s">
        <v>166</v>
      </c>
      <c r="L342" s="178"/>
      <c r="N342" s="179" t="s">
        <v>197</v>
      </c>
      <c r="O342" s="51"/>
    </row>
    <row r="343" spans="8:15" ht="15.75" customHeight="1">
      <c r="H343" s="76">
        <v>44227</v>
      </c>
      <c r="K343" s="180"/>
      <c r="L343" s="30"/>
      <c r="M343" s="31"/>
      <c r="N343" s="35"/>
      <c r="O343" s="87"/>
    </row>
    <row r="344" spans="8:15" ht="15.75" customHeight="1">
      <c r="H344" s="76">
        <v>44255</v>
      </c>
      <c r="L344" s="51"/>
      <c r="M344" s="31">
        <f>M341*1.0006333</f>
        <v>16622920632.92</v>
      </c>
      <c r="N344" s="181" t="s">
        <v>198</v>
      </c>
      <c r="O344" s="89">
        <f>E177/M344</f>
        <v>159.05748805440527</v>
      </c>
    </row>
    <row r="345" spans="8:9" ht="15.75" customHeight="1">
      <c r="H345" s="76">
        <v>44286</v>
      </c>
      <c r="I345" s="155"/>
    </row>
    <row r="346" spans="7:15" ht="15.75" customHeight="1">
      <c r="G346" s="123">
        <f>K346/M346</f>
        <v>-10.14395779751779</v>
      </c>
      <c r="H346" s="76">
        <v>44286</v>
      </c>
      <c r="I346" s="174">
        <v>-109916000000</v>
      </c>
      <c r="J346" s="34">
        <f>(-1*K346)+I346</f>
        <v>58768000000</v>
      </c>
      <c r="K346" s="174">
        <v>-168684000000</v>
      </c>
      <c r="L346" s="182">
        <f aca="true" t="shared" si="55" ref="L346:L348">M346/10000000</f>
        <v>1662.90124</v>
      </c>
      <c r="M346" s="183">
        <f>M341*1.001</f>
        <v>16629012399.999998</v>
      </c>
      <c r="N346" s="184" t="s">
        <v>199</v>
      </c>
      <c r="O346" s="185">
        <f>E178/M346</f>
        <v>159.4338218185465</v>
      </c>
    </row>
    <row r="347" spans="7:15" ht="15.75" customHeight="1">
      <c r="G347" s="156"/>
      <c r="H347" s="76">
        <v>44286</v>
      </c>
      <c r="I347" s="174" t="s">
        <v>183</v>
      </c>
      <c r="J347" s="166"/>
      <c r="K347" s="174" t="s">
        <v>183</v>
      </c>
      <c r="L347" s="118">
        <f t="shared" si="55"/>
        <v>1686.1585999999998</v>
      </c>
      <c r="M347" s="34">
        <f>M341*1.015</f>
        <v>16861585999.999998</v>
      </c>
      <c r="N347" s="32" t="s">
        <v>200</v>
      </c>
      <c r="O347" s="185"/>
    </row>
    <row r="348" spans="7:15" ht="15.75" customHeight="1">
      <c r="G348" s="51"/>
      <c r="H348" s="76">
        <v>44316</v>
      </c>
      <c r="L348" s="120">
        <f t="shared" si="55"/>
        <v>1677.8673511599995</v>
      </c>
      <c r="M348" s="31">
        <f>M346*1.009</f>
        <v>16778673511.599997</v>
      </c>
      <c r="N348" s="186" t="s">
        <v>201</v>
      </c>
      <c r="O348" s="89">
        <f aca="true" t="shared" si="56" ref="O348:O356">E179/M348</f>
        <v>159.776933387886</v>
      </c>
    </row>
    <row r="349" spans="8:15" ht="15.75" customHeight="1">
      <c r="H349" s="76">
        <v>44347</v>
      </c>
      <c r="M349" s="31">
        <f>M346*1.018</f>
        <v>16928334623.199999</v>
      </c>
      <c r="N349" s="186" t="s">
        <v>202</v>
      </c>
      <c r="O349" s="187">
        <f t="shared" si="56"/>
        <v>158.73132589885324</v>
      </c>
    </row>
    <row r="350" spans="7:15" ht="15.75" customHeight="1">
      <c r="G350" s="123">
        <f>K350/M350</f>
        <v>-8.993092771831556</v>
      </c>
      <c r="H350" s="76">
        <v>44377</v>
      </c>
      <c r="I350" s="98">
        <v>-93148000000</v>
      </c>
      <c r="J350" s="31">
        <f>(-1*K350)+I350</f>
        <v>60436000000</v>
      </c>
      <c r="K350" s="98">
        <v>-153584000000</v>
      </c>
      <c r="L350" s="120">
        <f>M350/10000000</f>
        <v>1707.7995734799997</v>
      </c>
      <c r="M350" s="109">
        <f>M346*1.027</f>
        <v>17077995734.799997</v>
      </c>
      <c r="N350" s="184" t="s">
        <v>203</v>
      </c>
      <c r="O350" s="89">
        <f t="shared" si="56"/>
        <v>157.87853808312104</v>
      </c>
    </row>
    <row r="351" spans="7:15" ht="15.75" customHeight="1">
      <c r="G351" s="51"/>
      <c r="H351" s="76">
        <v>44408</v>
      </c>
      <c r="I351" s="60" t="s">
        <v>183</v>
      </c>
      <c r="K351" s="60" t="s">
        <v>183</v>
      </c>
      <c r="M351" s="31">
        <f>M350*1.00866666</f>
        <v>17226004917.31496</v>
      </c>
      <c r="N351" s="186" t="s">
        <v>204</v>
      </c>
      <c r="O351" s="89">
        <f t="shared" si="56"/>
        <v>158.24220491543238</v>
      </c>
    </row>
    <row r="352" spans="8:15" ht="15.75" customHeight="1">
      <c r="H352" s="76">
        <v>44439</v>
      </c>
      <c r="I352" s="30"/>
      <c r="M352" s="31">
        <f>M350*1.01733333</f>
        <v>17374014270.60988</v>
      </c>
      <c r="N352" s="186" t="s">
        <v>205</v>
      </c>
      <c r="O352" s="89">
        <f t="shared" si="56"/>
        <v>157.3806696259849</v>
      </c>
    </row>
    <row r="353" spans="7:15" ht="15.75" customHeight="1">
      <c r="G353" s="75">
        <f>K353/M353</f>
        <v>-7.9414343335413395</v>
      </c>
      <c r="H353" s="76">
        <v>44469</v>
      </c>
      <c r="I353" s="98">
        <v>-78453000000</v>
      </c>
      <c r="J353" s="31">
        <f>(-1*K353)+I353</f>
        <v>60697000000</v>
      </c>
      <c r="K353" s="98">
        <v>-139150000000</v>
      </c>
      <c r="L353" s="120">
        <f aca="true" t="shared" si="57" ref="L353:L354">M353/10000000</f>
        <v>1752.2023623904797</v>
      </c>
      <c r="M353" s="31">
        <f>M350*1.026</f>
        <v>17522023623.904797</v>
      </c>
      <c r="N353" s="184" t="s">
        <v>206</v>
      </c>
      <c r="O353" s="89">
        <f t="shared" si="56"/>
        <v>154.4589859077515</v>
      </c>
    </row>
    <row r="354" spans="8:15" ht="15.75" customHeight="1">
      <c r="H354" s="76">
        <v>44500</v>
      </c>
      <c r="I354" s="4" t="s">
        <v>183</v>
      </c>
      <c r="K354" s="60" t="s">
        <v>183</v>
      </c>
      <c r="L354" s="120">
        <f t="shared" si="57"/>
        <v>1754.5386322011598</v>
      </c>
      <c r="M354" s="31">
        <f>M353*1.00133333333</f>
        <v>17545386322.011597</v>
      </c>
      <c r="N354" s="186" t="s">
        <v>207</v>
      </c>
      <c r="O354" s="187">
        <f t="shared" si="56"/>
        <v>154.47194779631758</v>
      </c>
    </row>
    <row r="355" spans="8:15" ht="15.75" customHeight="1">
      <c r="H355" s="76">
        <v>44530</v>
      </c>
      <c r="M355" s="31">
        <f>M353*1.00266666</f>
        <v>17568748903.42172</v>
      </c>
      <c r="N355" s="186" t="s">
        <v>208</v>
      </c>
      <c r="O355" s="89">
        <f t="shared" si="56"/>
        <v>153.39054674946948</v>
      </c>
    </row>
    <row r="356" spans="8:15" ht="15.75" customHeight="1">
      <c r="H356" s="76">
        <v>44561</v>
      </c>
      <c r="M356" s="34">
        <f>M353*1.008</f>
        <v>17662199812.896034</v>
      </c>
      <c r="N356" s="184" t="s">
        <v>209</v>
      </c>
      <c r="O356" s="87">
        <f t="shared" si="56"/>
        <v>151.61814657111552</v>
      </c>
    </row>
    <row r="357" spans="8:15" ht="15.75" customHeight="1">
      <c r="H357" s="76">
        <v>44561</v>
      </c>
      <c r="M357" s="34">
        <f>M341*1.067</f>
        <v>17725430800</v>
      </c>
      <c r="N357" s="35" t="s">
        <v>210</v>
      </c>
      <c r="O357" s="87">
        <f>E187/M357</f>
        <v>151.07728721606023</v>
      </c>
    </row>
    <row r="358" spans="7:15" ht="15.75" customHeight="1">
      <c r="G358" s="69">
        <f>K358/M363</f>
        <v>-8.774847792267655</v>
      </c>
      <c r="H358" s="173">
        <v>44561</v>
      </c>
      <c r="I358" s="91">
        <v>-97517000000</v>
      </c>
      <c r="J358" s="46">
        <f>(-1*K358)+I358</f>
        <v>62391000000</v>
      </c>
      <c r="K358" s="91">
        <v>-159908000000</v>
      </c>
      <c r="O358" s="4">
        <v>154.9</v>
      </c>
    </row>
    <row r="359" spans="7:11" ht="15.75" customHeight="1">
      <c r="G359" s="51"/>
      <c r="H359" s="76"/>
      <c r="I359" s="106" t="s">
        <v>211</v>
      </c>
      <c r="K359" s="106"/>
    </row>
    <row r="360" spans="7:15" ht="15.75" customHeight="1">
      <c r="G360" s="123">
        <f>K360/M360</f>
        <v>-9.428764120721633</v>
      </c>
      <c r="H360" s="90">
        <v>44561</v>
      </c>
      <c r="I360" s="98">
        <v>-107286000000</v>
      </c>
      <c r="J360" s="31">
        <v>60480000000</v>
      </c>
      <c r="K360" s="27">
        <v>-167766000000</v>
      </c>
      <c r="L360" s="118">
        <v>1779.3</v>
      </c>
      <c r="M360" s="34">
        <v>17793000000</v>
      </c>
      <c r="N360" s="188"/>
      <c r="O360" s="87">
        <v>153.4</v>
      </c>
    </row>
    <row r="361" spans="7:15" ht="15.75" customHeight="1">
      <c r="G361" s="60" t="s">
        <v>212</v>
      </c>
      <c r="I361" s="4" t="s">
        <v>212</v>
      </c>
      <c r="K361" s="54" t="s">
        <v>212</v>
      </c>
      <c r="L361" s="12"/>
      <c r="M361" s="12"/>
      <c r="O361" s="60" t="s">
        <v>212</v>
      </c>
    </row>
    <row r="362" spans="7:8" ht="15.75" customHeight="1">
      <c r="G362" s="189"/>
      <c r="H362" s="76"/>
    </row>
    <row r="363" spans="7:15" ht="15.75" customHeight="1">
      <c r="G363" s="189"/>
      <c r="H363" s="173">
        <v>44561</v>
      </c>
      <c r="L363" s="103">
        <f>M363/10000000</f>
        <v>1822.345</v>
      </c>
      <c r="M363" s="46">
        <v>18223450000</v>
      </c>
      <c r="N363" s="73" t="s">
        <v>213</v>
      </c>
      <c r="O363" s="74">
        <f>E187/M363</f>
        <v>146.94857450153512</v>
      </c>
    </row>
    <row r="364" spans="7:14" ht="15.75" customHeight="1">
      <c r="G364" s="189"/>
      <c r="H364" s="76"/>
      <c r="N364" s="162" t="s">
        <v>214</v>
      </c>
    </row>
    <row r="365" spans="7:15" ht="15.75" customHeight="1">
      <c r="G365" s="51"/>
      <c r="H365" s="90">
        <v>44592</v>
      </c>
      <c r="M365" s="31">
        <f>M363*0.9994</f>
        <v>18212515930</v>
      </c>
      <c r="N365" s="186"/>
      <c r="O365" s="89"/>
    </row>
    <row r="366" spans="8:15" ht="15.75" customHeight="1">
      <c r="H366" s="76">
        <v>44620</v>
      </c>
      <c r="M366" s="31">
        <f>M363*0.9986</f>
        <v>18197937170</v>
      </c>
      <c r="N366" s="186"/>
      <c r="O366" s="89"/>
    </row>
    <row r="367" spans="7:15" ht="15.75" customHeight="1">
      <c r="G367" s="75">
        <f>K367/M367</f>
        <v>-6.399598017445542</v>
      </c>
      <c r="H367" s="90">
        <v>44651</v>
      </c>
      <c r="I367" s="98">
        <v>-50479000000</v>
      </c>
      <c r="J367" s="31">
        <v>66377000000</v>
      </c>
      <c r="K367" s="98">
        <v>-116856000000</v>
      </c>
      <c r="M367" s="31">
        <f>M363*1.002</f>
        <v>18259896900</v>
      </c>
      <c r="N367" s="190" t="s">
        <v>215</v>
      </c>
      <c r="O367" s="89">
        <f aca="true" t="shared" si="58" ref="O367:O373">E193/M367</f>
        <v>150.89844236743747</v>
      </c>
    </row>
    <row r="368" spans="8:15" ht="15.75" customHeight="1">
      <c r="H368" s="90">
        <v>44681</v>
      </c>
      <c r="K368" s="60"/>
      <c r="M368" s="31">
        <f>M367*1.0036666</f>
        <v>18326848637.97354</v>
      </c>
      <c r="N368" s="180" t="s">
        <v>216</v>
      </c>
      <c r="O368" s="89">
        <f t="shared" si="58"/>
        <v>150.5376649580415</v>
      </c>
    </row>
    <row r="369" spans="8:15" ht="15.75" customHeight="1">
      <c r="H369" s="76">
        <v>44712</v>
      </c>
      <c r="M369" s="31">
        <f>M367*1.007333</f>
        <v>18393796723.9677</v>
      </c>
      <c r="N369" s="180" t="s">
        <v>217</v>
      </c>
      <c r="O369" s="89">
        <f t="shared" si="58"/>
        <v>149.7885423736315</v>
      </c>
    </row>
    <row r="370" spans="7:15" ht="15.75" customHeight="1">
      <c r="G370" s="75">
        <f>K370/M370</f>
        <v>-5.278657127353487</v>
      </c>
      <c r="H370" s="76">
        <v>44742</v>
      </c>
      <c r="I370" s="98">
        <v>-26945000000</v>
      </c>
      <c r="J370" s="31">
        <v>71503000000</v>
      </c>
      <c r="K370" s="98">
        <v>-97448000000</v>
      </c>
      <c r="M370" s="31">
        <f>M367*1.011</f>
        <v>18460755765.899998</v>
      </c>
      <c r="N370" s="73" t="s">
        <v>218</v>
      </c>
      <c r="O370" s="89">
        <f t="shared" si="58"/>
        <v>149.9377400958241</v>
      </c>
    </row>
    <row r="371" spans="8:15" ht="15.75" customHeight="1">
      <c r="H371" s="76">
        <v>44773</v>
      </c>
      <c r="K371" s="60"/>
      <c r="M371" s="109">
        <f>M370*1.0016666</f>
        <v>18491522461.45945</v>
      </c>
      <c r="N371" s="180" t="s">
        <v>219</v>
      </c>
      <c r="O371" s="89">
        <f t="shared" si="58"/>
        <v>149.82855012476526</v>
      </c>
    </row>
    <row r="372" spans="8:15" ht="15.75" customHeight="1">
      <c r="H372" s="76">
        <v>44804</v>
      </c>
      <c r="M372" s="31">
        <f>M370*1.003333</f>
        <v>18522285464.867744</v>
      </c>
      <c r="N372" s="180" t="s">
        <v>220</v>
      </c>
      <c r="O372" s="89">
        <f t="shared" si="58"/>
        <v>148.8918311528513</v>
      </c>
    </row>
    <row r="373" spans="7:15" ht="15.75" customHeight="1">
      <c r="G373" s="75">
        <f>K373/M373</f>
        <v>-4.938376863347465</v>
      </c>
      <c r="H373" s="76">
        <v>44834</v>
      </c>
      <c r="I373" s="98">
        <v>-16424000000</v>
      </c>
      <c r="J373" s="31">
        <v>75198000000</v>
      </c>
      <c r="K373" s="98">
        <v>-91622000000</v>
      </c>
      <c r="M373" s="109">
        <f>M370*1.005</f>
        <v>18553059544.729496</v>
      </c>
      <c r="N373" s="73" t="s">
        <v>221</v>
      </c>
      <c r="O373" s="89">
        <f t="shared" si="58"/>
        <v>147.85221776422617</v>
      </c>
    </row>
    <row r="374" spans="8:15" ht="15.75" customHeight="1">
      <c r="H374" s="76">
        <v>44865</v>
      </c>
      <c r="K374" s="60"/>
      <c r="O374" s="89">
        <f>E200/M373</f>
        <v>149.37239830005655</v>
      </c>
    </row>
    <row r="375" ht="15.75" customHeight="1">
      <c r="H375" s="76">
        <v>44895</v>
      </c>
    </row>
    <row r="376" spans="8:15" ht="15.75" customHeight="1">
      <c r="H376" s="76">
        <v>44926</v>
      </c>
      <c r="O376" s="89">
        <f>E201/M377</f>
        <v>149.20192249038092</v>
      </c>
    </row>
    <row r="377" spans="7:15" ht="15.75" customHeight="1">
      <c r="G377" s="149">
        <f>K377/M377</f>
        <v>-8.195578345796227</v>
      </c>
      <c r="H377" s="191">
        <v>44926</v>
      </c>
      <c r="I377" s="150">
        <v>-68695000000</v>
      </c>
      <c r="J377" s="192">
        <f>(-1*K377)+I377</f>
        <v>83206000000</v>
      </c>
      <c r="K377" s="150">
        <v>-151901000000</v>
      </c>
      <c r="M377" s="31">
        <f>M373*0.999</f>
        <v>18534506485.184765</v>
      </c>
      <c r="N377" s="73" t="s">
        <v>222</v>
      </c>
      <c r="O377" s="89">
        <f>E202/M373</f>
        <v>148.63031045374706</v>
      </c>
    </row>
    <row r="378" spans="8:15" ht="15.75" customHeight="1">
      <c r="H378" s="76">
        <v>44926</v>
      </c>
      <c r="J378" s="193"/>
      <c r="K378" s="60"/>
      <c r="M378" s="31">
        <f>M363*1.039</f>
        <v>18934164550</v>
      </c>
      <c r="N378" s="186" t="s">
        <v>223</v>
      </c>
      <c r="O378" s="89">
        <f>E202/M378</f>
        <v>145.63869415616756</v>
      </c>
    </row>
    <row r="379" spans="8:16" ht="15.75" customHeight="1">
      <c r="H379" s="76">
        <v>44926</v>
      </c>
      <c r="J379" s="193"/>
      <c r="M379" s="31">
        <f>E202/145.4</f>
        <v>18965247592.847317</v>
      </c>
      <c r="N379" s="194" t="s">
        <v>224</v>
      </c>
      <c r="O379" s="89">
        <v>145.4</v>
      </c>
      <c r="P379" s="194" t="s">
        <v>225</v>
      </c>
    </row>
    <row r="380" spans="7:16" ht="15.75" customHeight="1">
      <c r="G380" s="195"/>
      <c r="H380" s="90">
        <v>44926</v>
      </c>
      <c r="I380" s="196"/>
      <c r="J380" s="197"/>
      <c r="K380" s="196"/>
      <c r="M380" s="31">
        <v>19033000000</v>
      </c>
      <c r="N380" s="198" t="s">
        <v>226</v>
      </c>
      <c r="O380" s="4"/>
      <c r="P380" s="180"/>
    </row>
    <row r="381" spans="7:15" ht="15.75" customHeight="1">
      <c r="G381" s="199">
        <f>K381/M381</f>
        <v>-8.628811304925458</v>
      </c>
      <c r="H381" s="200">
        <v>44926</v>
      </c>
      <c r="I381" s="27">
        <v>-85080000000</v>
      </c>
      <c r="J381" s="201">
        <f>(-1*K381)+I381</f>
        <v>82878000000</v>
      </c>
      <c r="K381" s="202">
        <v>-167958000000</v>
      </c>
      <c r="M381" s="201">
        <v>19464790000</v>
      </c>
      <c r="N381" s="203" t="s">
        <v>213</v>
      </c>
      <c r="O381" s="204">
        <f>E202/M381</f>
        <v>141.66846906645281</v>
      </c>
    </row>
    <row r="382" spans="9:10" ht="15.75" customHeight="1">
      <c r="I382" s="12"/>
      <c r="J382" s="12"/>
    </row>
    <row r="383" spans="9:11" ht="15.75" customHeight="1">
      <c r="I383" s="4" t="s">
        <v>173</v>
      </c>
      <c r="J383" s="4" t="s">
        <v>174</v>
      </c>
      <c r="K383" s="60" t="s">
        <v>175</v>
      </c>
    </row>
    <row r="384" spans="8:15" ht="15.75" customHeight="1">
      <c r="H384" s="205">
        <v>44957</v>
      </c>
      <c r="M384" s="31">
        <f>M381*1.000333</f>
        <v>19471271775.07</v>
      </c>
      <c r="O384" s="89">
        <f>E206/M384</f>
        <v>140.57592290938888</v>
      </c>
    </row>
    <row r="385" spans="8:13" ht="15.75" customHeight="1">
      <c r="H385" s="205">
        <v>44985</v>
      </c>
      <c r="M385" s="31">
        <f>M381*1.00666</f>
        <v>19594425501.4</v>
      </c>
    </row>
    <row r="386" spans="7:15" ht="15.75" customHeight="1">
      <c r="G386" s="206">
        <f>K386/M386</f>
        <v>-8.179524344113226</v>
      </c>
      <c r="H386" s="207">
        <v>45016</v>
      </c>
      <c r="I386" s="98">
        <v>-78821000000</v>
      </c>
      <c r="J386" s="208">
        <v>81847000000</v>
      </c>
      <c r="K386" s="175">
        <v>-160168000000</v>
      </c>
      <c r="M386" s="31">
        <f>M381*1.006</f>
        <v>19581578740</v>
      </c>
      <c r="N386" s="209" t="s">
        <v>227</v>
      </c>
      <c r="O386" s="210">
        <f>E208/M386</f>
        <v>142.5087852747873</v>
      </c>
    </row>
    <row r="387" spans="8:11" ht="15.75" customHeight="1">
      <c r="H387" s="211">
        <v>45046</v>
      </c>
      <c r="I387" s="4" t="s">
        <v>228</v>
      </c>
      <c r="J387" s="4" t="s">
        <v>228</v>
      </c>
      <c r="K387" s="60" t="s">
        <v>228</v>
      </c>
    </row>
    <row r="388" ht="15.75" customHeight="1">
      <c r="H388" s="205">
        <v>45076</v>
      </c>
    </row>
    <row r="389" spans="7:15" ht="15.75" customHeight="1">
      <c r="G389" s="206">
        <f>K389/M389</f>
        <v>-8.328309247396723</v>
      </c>
      <c r="H389" s="207">
        <v>45107</v>
      </c>
      <c r="I389" s="98">
        <v>-75961000000</v>
      </c>
      <c r="J389" s="208">
        <v>82228000000</v>
      </c>
      <c r="K389" s="175">
        <v>-158189000000</v>
      </c>
      <c r="M389" s="31">
        <f>M386*0.97</f>
        <v>18994131377.8</v>
      </c>
      <c r="N389" s="212" t="s">
        <v>229</v>
      </c>
      <c r="O389" s="210">
        <f>E211/M389</f>
        <v>149.97569214086096</v>
      </c>
    </row>
    <row r="390" spans="8:11" ht="15.75" customHeight="1">
      <c r="H390" s="205">
        <v>45138</v>
      </c>
      <c r="I390" s="4" t="s">
        <v>228</v>
      </c>
      <c r="J390" s="4" t="s">
        <v>228</v>
      </c>
      <c r="K390" s="60" t="s">
        <v>228</v>
      </c>
    </row>
    <row r="391" spans="8:11" ht="15.75" customHeight="1">
      <c r="H391" s="205">
        <v>45169</v>
      </c>
      <c r="I391" s="12" t="s">
        <v>230</v>
      </c>
      <c r="J391" s="12"/>
      <c r="K391" s="12"/>
    </row>
    <row r="392" spans="7:15" ht="15.75" customHeight="1">
      <c r="G392" s="172">
        <f>K392/M392</f>
        <v>-7.251516849949108</v>
      </c>
      <c r="H392" s="207">
        <v>45199</v>
      </c>
      <c r="I392" s="98">
        <v>-55272000000</v>
      </c>
      <c r="J392" s="46">
        <v>82602000000</v>
      </c>
      <c r="K392" s="175">
        <v>-137874000000</v>
      </c>
      <c r="M392" s="31">
        <f>M389*1.001</f>
        <v>19013125509.177795</v>
      </c>
      <c r="N392" s="194" t="s">
        <v>231</v>
      </c>
      <c r="O392" s="210">
        <f aca="true" t="shared" si="59" ref="O392:O395">E214/M392</f>
        <v>149.59055514713182</v>
      </c>
    </row>
    <row r="393" spans="7:15" ht="15.75" customHeight="1">
      <c r="G393" s="213"/>
      <c r="H393" s="205">
        <v>45230</v>
      </c>
      <c r="M393" s="31">
        <f>M392*0.999666</f>
        <v>19006775125.257732</v>
      </c>
      <c r="N393" s="180" t="s">
        <v>232</v>
      </c>
      <c r="O393" s="89">
        <f t="shared" si="59"/>
        <v>150.86120507574103</v>
      </c>
    </row>
    <row r="394" spans="7:15" ht="15.75" customHeight="1">
      <c r="G394" s="213"/>
      <c r="H394" s="205">
        <v>45260</v>
      </c>
      <c r="M394" s="31">
        <f>M392*1.00133333333</f>
        <v>19038476343.126656</v>
      </c>
      <c r="N394" s="180" t="s">
        <v>233</v>
      </c>
      <c r="O394" s="89">
        <f t="shared" si="59"/>
        <v>149.96168540718008</v>
      </c>
    </row>
    <row r="395" spans="7:15" ht="15.75" customHeight="1">
      <c r="G395" s="213"/>
      <c r="H395" s="205">
        <v>45291</v>
      </c>
      <c r="M395" s="31">
        <f>M392*1.002</f>
        <v>19051151760.19615</v>
      </c>
      <c r="N395" s="186" t="s">
        <v>234</v>
      </c>
      <c r="O395" s="89">
        <f t="shared" si="59"/>
        <v>150.26960238599895</v>
      </c>
    </row>
    <row r="396" spans="7:14" ht="15.75" customHeight="1">
      <c r="G396" s="214"/>
      <c r="H396" s="211">
        <v>45291</v>
      </c>
      <c r="M396" s="31">
        <f>M381*1.007</f>
        <v>19601043529.999996</v>
      </c>
      <c r="N396" s="198" t="s">
        <v>235</v>
      </c>
    </row>
    <row r="397" spans="7:14" ht="15.75" customHeight="1">
      <c r="G397" s="214"/>
      <c r="H397" s="211">
        <v>45291</v>
      </c>
      <c r="M397" s="31">
        <f>M381*1.007</f>
        <v>19601043529.999996</v>
      </c>
      <c r="N397" s="215" t="s">
        <v>236</v>
      </c>
    </row>
    <row r="398" spans="7:15" ht="15.75" customHeight="1">
      <c r="G398" s="199">
        <f>K398/M398</f>
        <v>-7.167772142769458</v>
      </c>
      <c r="H398" s="216">
        <v>45291</v>
      </c>
      <c r="I398" s="159">
        <v>-70864000000</v>
      </c>
      <c r="J398" s="201">
        <f>(-1*K398)+I398</f>
        <v>78611000000</v>
      </c>
      <c r="K398" s="202">
        <v>-149475000000</v>
      </c>
      <c r="M398" s="201">
        <v>20853760000</v>
      </c>
      <c r="N398" t="s">
        <v>237</v>
      </c>
      <c r="O398" s="204">
        <f>E217/M398</f>
        <v>137.28023147863982</v>
      </c>
    </row>
    <row r="399" spans="7:11" ht="15.75" customHeight="1">
      <c r="G399" s="69"/>
      <c r="H399" s="207"/>
      <c r="I399" s="27" t="s">
        <v>238</v>
      </c>
      <c r="J399" s="34" t="s">
        <v>238</v>
      </c>
      <c r="K399" s="27" t="s">
        <v>238</v>
      </c>
    </row>
    <row r="400" spans="9:11" ht="15.75" customHeight="1">
      <c r="I400" s="12" t="s">
        <v>239</v>
      </c>
      <c r="J400" s="12"/>
      <c r="K400" s="12"/>
    </row>
    <row r="401" spans="9:10" ht="15.75" customHeight="1">
      <c r="I401" s="12"/>
      <c r="J401" s="12"/>
    </row>
    <row r="402" spans="8:15" ht="15.75" customHeight="1">
      <c r="H402" s="205">
        <v>45322</v>
      </c>
      <c r="M402" s="31">
        <f>M398*1.0003333333333</f>
        <v>20860711253.332638</v>
      </c>
      <c r="N402" s="180" t="s">
        <v>240</v>
      </c>
      <c r="O402" s="89">
        <f>E222/M402</f>
        <v>137.86682367028783</v>
      </c>
    </row>
    <row r="403" ht="15.75" customHeight="1">
      <c r="H403" s="205">
        <v>45350</v>
      </c>
    </row>
    <row r="404" spans="8:15" ht="15.75" customHeight="1">
      <c r="H404" s="217">
        <v>45382</v>
      </c>
      <c r="M404" s="34">
        <f>M398*1.001</f>
        <v>20874613759.999996</v>
      </c>
      <c r="N404" s="194" t="s">
        <v>241</v>
      </c>
      <c r="O404" s="87">
        <f>E223/M398</f>
        <v>138.9677449054751</v>
      </c>
    </row>
    <row r="405" ht="15.75" customHeight="1">
      <c r="H405" s="205">
        <v>45412</v>
      </c>
    </row>
    <row r="406" ht="15.75" customHeight="1">
      <c r="H406" s="205">
        <v>45443</v>
      </c>
    </row>
    <row r="407" spans="8:15" ht="15.75" customHeight="1">
      <c r="H407" s="205">
        <v>45473</v>
      </c>
      <c r="M407" s="31">
        <f>M404*1.002</f>
        <v>20916362987.519997</v>
      </c>
      <c r="N407" s="194" t="s">
        <v>242</v>
      </c>
      <c r="O407" s="87">
        <f>E226/M407</f>
        <v>140.6793332930624</v>
      </c>
    </row>
    <row r="408" ht="15.75" customHeight="1">
      <c r="H408" s="205">
        <v>45504</v>
      </c>
    </row>
    <row r="409" ht="15.75" customHeight="1">
      <c r="H409" s="205">
        <v>45535</v>
      </c>
    </row>
    <row r="410" spans="8:14" ht="15.75" customHeight="1">
      <c r="H410" s="205">
        <v>45565</v>
      </c>
      <c r="M410" s="31">
        <f>M407*1.003</f>
        <v>20979112076.482555</v>
      </c>
      <c r="N410" s="194" t="s">
        <v>243</v>
      </c>
    </row>
    <row r="411" ht="15.75" customHeight="1">
      <c r="H411" s="205">
        <v>45596</v>
      </c>
    </row>
    <row r="412" ht="15.75" customHeight="1">
      <c r="H412" s="205">
        <v>45626</v>
      </c>
    </row>
    <row r="413" spans="8:14" ht="15.75" customHeight="1">
      <c r="H413" s="211">
        <v>45657</v>
      </c>
      <c r="M413" s="31">
        <f>M410*0.999</f>
        <v>20958132964.406075</v>
      </c>
      <c r="N413" s="218" t="s">
        <v>244</v>
      </c>
    </row>
    <row r="414" ht="15.75" customHeight="1">
      <c r="H414" s="211"/>
    </row>
    <row r="415" spans="7:14" ht="15.75" customHeight="1">
      <c r="G415" s="219"/>
      <c r="H415" s="211">
        <v>45657</v>
      </c>
      <c r="M415" s="31">
        <f>M398*1.006</f>
        <v>20978882560</v>
      </c>
      <c r="N415" s="220" t="s">
        <v>245</v>
      </c>
    </row>
    <row r="416" spans="7:15" ht="15.75" customHeight="1">
      <c r="G416" s="172">
        <v>-3.6</v>
      </c>
      <c r="H416" s="207">
        <v>45657</v>
      </c>
      <c r="I416" s="34">
        <v>12225000000</v>
      </c>
      <c r="J416" s="208">
        <f>(-1*K416)+I416</f>
        <v>88970000000</v>
      </c>
      <c r="K416" s="221">
        <v>-76745000000</v>
      </c>
      <c r="M416" s="208">
        <f>K416/G416</f>
        <v>21318055555.555553</v>
      </c>
      <c r="N416" t="s">
        <v>246</v>
      </c>
      <c r="O416" s="219"/>
    </row>
    <row r="417" spans="7:11" ht="15.75" customHeight="1">
      <c r="G417" s="60" t="s">
        <v>247</v>
      </c>
      <c r="K417" s="60" t="s">
        <v>247</v>
      </c>
    </row>
    <row r="418" spans="7:11" ht="15.75" customHeight="1">
      <c r="G418" s="51" t="s">
        <v>248</v>
      </c>
      <c r="K418" s="51" t="s">
        <v>248</v>
      </c>
    </row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11">
    <mergeCell ref="E153:F153"/>
    <mergeCell ref="A190:D190"/>
    <mergeCell ref="A205:D205"/>
    <mergeCell ref="A220:D220"/>
    <mergeCell ref="N262:N263"/>
    <mergeCell ref="N276:N277"/>
    <mergeCell ref="O296:O297"/>
    <mergeCell ref="G306:O306"/>
    <mergeCell ref="L340:M340"/>
    <mergeCell ref="I391:K391"/>
    <mergeCell ref="I400:K400"/>
  </mergeCells>
  <hyperlinks>
    <hyperlink ref="E153" r:id="rId1" display="(a partire dalla stima di Agosto, Bankitalia ha rivisto - al rialzo - tutti i valori del debito pubblico – “nuovi valori”)"/>
    <hyperlink ref="I187" r:id="rId2" display="[fonte]"/>
    <hyperlink ref="N294" r:id="rId3" display="{+1,2% secondo la NaDef}"/>
    <hyperlink ref="N300" r:id="rId4" display=" +0,1% nel I trimestre [*1.001] {stima MR}"/>
    <hyperlink ref="N303" r:id="rId5" display=" +0.1% nel II trimestre [*1.001] {stima MR}"/>
    <hyperlink ref="G306" r:id="rId6" display="(a partire dalla stima di Agosto, Bankitalia ha rivisto - al rialzo - tutti i valori del debito pubblico)"/>
    <hyperlink ref="N310" r:id="rId7" display=" +0.1% nel III trimestre [*1.001] {stima MR}"/>
    <hyperlink ref="K314" r:id="rId8" display="{NaDEF 2020, pag. 59}"/>
    <hyperlink ref="I321" r:id="rId9" display="{fonte}"/>
    <hyperlink ref="K321" r:id="rId10" display="{fonte}"/>
    <hyperlink ref="I324" r:id="rId11" display="{fonte}"/>
    <hyperlink ref="J324" r:id="rId12" display="{fonte}"/>
    <hyperlink ref="K324" r:id="rId13" display="{fonte}"/>
    <hyperlink ref="I328" r:id="rId14" display="{fonte}"/>
    <hyperlink ref="J328" r:id="rId15" display="{fonte}"/>
    <hyperlink ref="K328" r:id="rId16" display="{fonte}"/>
    <hyperlink ref="I334" r:id="rId17" display="{fonte}"/>
    <hyperlink ref="J334" r:id="rId18" display="{fonte}"/>
    <hyperlink ref="K334" r:id="rId19" display="{fonte}"/>
    <hyperlink ref="I340" r:id="rId20" display="{NaDEF 2020, pag. 59}"/>
    <hyperlink ref="K340" r:id="rId21" display="{NaDEF 2020, pag. 59}"/>
    <hyperlink ref="L340" r:id="rId22" display="Pil nominale tendenziale {NaDEF 2020, pag. 59}"/>
    <hyperlink ref="I347" r:id="rId23" display="{fonte}"/>
    <hyperlink ref="K347" r:id="rId24" display="{fonte}"/>
    <hyperlink ref="I351" r:id="rId25" display="{fonte}"/>
    <hyperlink ref="K351" r:id="rId26" display="{fonte}"/>
    <hyperlink ref="I354" r:id="rId27" display="{fonte}"/>
    <hyperlink ref="K354" r:id="rId28" display="{fonte}"/>
    <hyperlink ref="I391" r:id="rId29" display="* “fonte” (http://www.francomostacci.it/wp-content/uploads/2015/01/2023T3_ContiPAa.png)"/>
    <hyperlink ref="I400" r:id="rId30" display="** “fonte” (http://www.francomostacci.it/wp-content/uploads/2015/03/2023_cn_tavsaldi.png)"/>
  </hyperlink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33"/>
  <legacyDrawing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="90" zoomScaleNormal="90" colorId="54" workbookViewId="0" topLeftCell="A1">
      <selection activeCell="A1" sqref="A1"/>
    </sheetView>
  </sheetViews>
  <sheetFormatPr defaultColWidth="9.140625" defaultRowHeight="14.25" customHeight="1"/>
  <cols>
    <col min="65" max="16384" width="11.00390625" style="0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="90" zoomScaleNormal="90" colorId="54" workbookViewId="0" topLeftCell="A1">
      <selection activeCell="A1" sqref="A1"/>
    </sheetView>
  </sheetViews>
  <sheetFormatPr defaultColWidth="9.140625" defaultRowHeight="14.25" customHeight="1"/>
  <cols>
    <col min="65" max="16384" width="11.00390625" style="0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2024-04-04T22:30:30Z</dcterms:modified>
  <cp:category/>
  <cp:version/>
  <cp:contentType/>
  <cp:contentStatus/>
  <cp:revision>105</cp:revision>
</cp:coreProperties>
</file>